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24226"/>
  <xr:revisionPtr revIDLastSave="0" documentId="8_{F52BD09B-A739-4BB3-A510-6AFFED2D350B}" xr6:coauthVersionLast="44" xr6:coauthVersionMax="44" xr10:uidLastSave="{00000000-0000-0000-0000-000000000000}"/>
  <bookViews>
    <workbookView xWindow="-120" yWindow="-120" windowWidth="29040" windowHeight="15840" tabRatio="912" firstSheet="6" activeTab="16" xr2:uid="{00000000-000D-0000-FFFF-FFFF00000000}"/>
  </bookViews>
  <sheets>
    <sheet name="PROGRAM IZVAJANJA" sheetId="1" r:id="rId1"/>
    <sheet name="Podatki o objektih" sheetId="72" r:id="rId2"/>
    <sheet name="Referenčne količine" sheetId="16" r:id="rId3"/>
    <sheet name="CENE ENERGENTOV OB MENJAVI" sheetId="73" r:id="rId4"/>
    <sheet name="STANDARD UDOBJA" sheetId="54" r:id="rId5"/>
    <sheet name="EN. UPRAVLJANJE" sheetId="74" r:id="rId6"/>
    <sheet name="UKREPI - SPLOŠNE ZAHTEVE" sheetId="75" r:id="rId7"/>
    <sheet name="UKREPI (PO OBJEKTIH)" sheetId="5" r:id="rId8"/>
    <sheet name="OB3" sheetId="18" state="hidden" r:id="rId9"/>
    <sheet name="UKREPI (SKUPAJ)" sheetId="8" state="hidden" r:id="rId10"/>
    <sheet name="OB10" sheetId="64" r:id="rId11"/>
    <sheet name="OB12" sheetId="66" r:id="rId12"/>
    <sheet name="OB13" sheetId="67" r:id="rId13"/>
    <sheet name="OB14" sheetId="68" r:id="rId14"/>
    <sheet name="OB15" sheetId="69" r:id="rId15"/>
    <sheet name="OB16" sheetId="70" r:id="rId16"/>
    <sheet name="UKREPI SKUPAJ" sheetId="71" r:id="rId17"/>
    <sheet name="VZOREC OBRAČUNA - TOPLOTA" sheetId="29" r:id="rId18"/>
    <sheet name="VZOREC OBRAČUNA - EL. ENERG" sheetId="30" r:id="rId19"/>
    <sheet name="VZOREC OBRAČUNA - SKUPAJ" sheetId="31" r:id="rId20"/>
  </sheets>
  <externalReferences>
    <externalReference r:id="rId21"/>
  </externalReferences>
  <definedNames>
    <definedName name="__IntlFixup" hidden="1">TRUE</definedName>
    <definedName name="_xlnm._FilterDatabase" localSheetId="10" hidden="1">'OB10'!#REF!</definedName>
    <definedName name="_xlnm._FilterDatabase" localSheetId="11" hidden="1">'OB12'!#REF!</definedName>
    <definedName name="_xlnm._FilterDatabase" localSheetId="12" hidden="1">'OB13'!#REF!</definedName>
    <definedName name="_xlnm._FilterDatabase" localSheetId="13" hidden="1">'OB14'!#REF!</definedName>
    <definedName name="_xlnm._FilterDatabase" localSheetId="14" hidden="1">'OB15'!#REF!</definedName>
    <definedName name="_xlnm._FilterDatabase" localSheetId="15" hidden="1">'OB16'!#REF!</definedName>
    <definedName name="anscount" hidden="1">1</definedName>
    <definedName name="Number_of_Payments" localSheetId="3" hidden="1">MATCH(0.01,End_Bal,-1)+1</definedName>
    <definedName name="Number_of_Payments" localSheetId="5" hidden="1">MATCH(0.01,End_Bal,-1)+1</definedName>
    <definedName name="Number_of_Payments" localSheetId="10" hidden="1">MATCH(0.01,End_Bal,-1)+1</definedName>
    <definedName name="Number_of_Payments" localSheetId="11" hidden="1">MATCH(0.01,End_Bal,-1)+1</definedName>
    <definedName name="Number_of_Payments" localSheetId="12" hidden="1">MATCH(0.01,End_Bal,-1)+1</definedName>
    <definedName name="Number_of_Payments" localSheetId="13" hidden="1">MATCH(0.01,End_Bal,-1)+1</definedName>
    <definedName name="Number_of_Payments" localSheetId="14" hidden="1">MATCH(0.01,End_Bal,-1)+1</definedName>
    <definedName name="Number_of_Payments" localSheetId="15" hidden="1">MATCH(0.01,End_Bal,-1)+1</definedName>
    <definedName name="Number_of_Payments" localSheetId="4" hidden="1">MATCH(0.01,End_Bal,-1)+1</definedName>
    <definedName name="Number_of_Payments" localSheetId="6" hidden="1">MATCH(0.01,End_Bal,-1)+1</definedName>
    <definedName name="Number_of_Payments" hidden="1">MATCH(0.01,End_Bal,-1)+1</definedName>
    <definedName name="objekti">[1]ENERGENTI!$A$9:$AE$121</definedName>
    <definedName name="_xlnm.Print_Area" localSheetId="5">'EN. UPRAVLJANJE'!$A$1:$B$43</definedName>
    <definedName name="_xlnm.Print_Area" localSheetId="2">'Referenčne količine'!$A$1:$AQ$58</definedName>
    <definedName name="_xlnm.Print_Area" localSheetId="7">'UKREPI (PO OBJEKTIH)'!$A$1:$B$55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0" i="16" l="1"/>
  <c r="AP20" i="16"/>
  <c r="AG20" i="16"/>
  <c r="T20" i="16"/>
  <c r="AH20" i="16"/>
  <c r="D7" i="54" l="1"/>
  <c r="D8" i="54" s="1"/>
  <c r="D9" i="54" s="1"/>
  <c r="D10" i="54" s="1"/>
  <c r="D11" i="54" s="1"/>
  <c r="D12" i="54" l="1"/>
  <c r="D13" i="54"/>
  <c r="D14" i="54" s="1"/>
  <c r="D15" i="54" s="1"/>
  <c r="D16" i="54" s="1"/>
  <c r="D17" i="54" s="1"/>
  <c r="D18" i="54" s="1"/>
  <c r="D19" i="54" s="1"/>
  <c r="D20" i="54" s="1"/>
  <c r="AI18" i="16" l="1"/>
  <c r="AL18" i="16" s="1"/>
  <c r="W18" i="16"/>
  <c r="N18" i="16" s="1"/>
  <c r="Y18" i="16"/>
  <c r="O18" i="16"/>
  <c r="AI17" i="16"/>
  <c r="AL17" i="16" s="1"/>
  <c r="W17" i="16"/>
  <c r="N17" i="16" s="1"/>
  <c r="O17" i="16"/>
  <c r="AI16" i="16"/>
  <c r="AL16" i="16" s="1"/>
  <c r="AA16" i="16"/>
  <c r="Z16" i="16"/>
  <c r="W16" i="16"/>
  <c r="O16" i="16"/>
  <c r="AI15" i="16"/>
  <c r="AL15" i="16" s="1"/>
  <c r="W15" i="16"/>
  <c r="N15" i="16" s="1"/>
  <c r="Y15" i="16"/>
  <c r="O15" i="16"/>
  <c r="AI14" i="16"/>
  <c r="AL14" i="16" s="1"/>
  <c r="AA14" i="16"/>
  <c r="Z14" i="16"/>
  <c r="AB14" i="16" s="1"/>
  <c r="W14" i="16"/>
  <c r="N14" i="16" s="1"/>
  <c r="O14" i="16"/>
  <c r="AI13" i="16"/>
  <c r="AL13" i="16" s="1"/>
  <c r="W13" i="16"/>
  <c r="N13" i="16" s="1"/>
  <c r="Y13" i="16"/>
  <c r="O13" i="16"/>
  <c r="AI12" i="16"/>
  <c r="AL12" i="16" s="1"/>
  <c r="W12" i="16"/>
  <c r="N12" i="16" s="1"/>
  <c r="Y12" i="16"/>
  <c r="O12" i="16"/>
  <c r="AI11" i="16"/>
  <c r="Y11" i="16"/>
  <c r="AI10" i="16"/>
  <c r="AL10" i="16" s="1"/>
  <c r="W10" i="16"/>
  <c r="N10" i="16" s="1"/>
  <c r="Y10" i="16"/>
  <c r="O10" i="16"/>
  <c r="AI9" i="16"/>
  <c r="AL9" i="16" s="1"/>
  <c r="W9" i="16"/>
  <c r="N9" i="16" s="1"/>
  <c r="Y9" i="16"/>
  <c r="O9" i="16"/>
  <c r="AI8" i="16"/>
  <c r="AL8" i="16" s="1"/>
  <c r="W8" i="16"/>
  <c r="N8" i="16" s="1"/>
  <c r="Y8" i="16"/>
  <c r="O8" i="16"/>
  <c r="AI7" i="16"/>
  <c r="AL7" i="16" s="1"/>
  <c r="W7" i="16"/>
  <c r="N7" i="16" s="1"/>
  <c r="Y7" i="16"/>
  <c r="O7" i="16"/>
  <c r="AI6" i="16"/>
  <c r="Y6" i="16"/>
  <c r="AI5" i="16"/>
  <c r="AL5" i="16" s="1"/>
  <c r="W5" i="16"/>
  <c r="N5" i="16" s="1"/>
  <c r="Y5" i="16"/>
  <c r="O5" i="16"/>
  <c r="AI4" i="16"/>
  <c r="AL4" i="16" s="1"/>
  <c r="W4" i="16"/>
  <c r="N4" i="16" s="1"/>
  <c r="Y4" i="16"/>
  <c r="O4" i="16"/>
  <c r="AI3" i="16"/>
  <c r="AL3" i="16" s="1"/>
  <c r="W3" i="16"/>
  <c r="O3" i="16"/>
  <c r="N16" i="16" l="1"/>
  <c r="AB16" i="16"/>
  <c r="Z5" i="16"/>
  <c r="AB5" i="16" s="1"/>
  <c r="AA5" i="16"/>
  <c r="Z7" i="16"/>
  <c r="AB7" i="16" s="1"/>
  <c r="AA7" i="16"/>
  <c r="Z9" i="16"/>
  <c r="AB9" i="16" s="1"/>
  <c r="AA9" i="16"/>
  <c r="Z8" i="16"/>
  <c r="AB8" i="16" s="1"/>
  <c r="AA8" i="16"/>
  <c r="Z10" i="16"/>
  <c r="AB10" i="16" s="1"/>
  <c r="AA10" i="16"/>
  <c r="Z12" i="16"/>
  <c r="AB12" i="16" s="1"/>
  <c r="AA12" i="16"/>
  <c r="Z15" i="16"/>
  <c r="AB15" i="16" s="1"/>
  <c r="AA15" i="16"/>
  <c r="Z18" i="16"/>
  <c r="AB18" i="16" s="1"/>
  <c r="AA18" i="16"/>
  <c r="AA11" i="16"/>
  <c r="Z13" i="16"/>
  <c r="AB13" i="16" s="1"/>
  <c r="AA13" i="16"/>
  <c r="Z17" i="16"/>
  <c r="AB17" i="16" s="1"/>
  <c r="AA17" i="16"/>
  <c r="Z4" i="16"/>
  <c r="AB4" i="16" s="1"/>
  <c r="AA4" i="16"/>
  <c r="AA6" i="16"/>
  <c r="AC14" i="16"/>
  <c r="AO14" i="16" s="1"/>
  <c r="AQ14" i="16" s="1"/>
  <c r="N3" i="16"/>
  <c r="Y3" i="16"/>
  <c r="Y20" i="16" s="1"/>
  <c r="AC16" i="16" l="1"/>
  <c r="AC4" i="16"/>
  <c r="AO4" i="16" s="1"/>
  <c r="AQ4" i="16" s="1"/>
  <c r="AC15" i="16"/>
  <c r="AO15" i="16" s="1"/>
  <c r="AQ15" i="16" s="1"/>
  <c r="AC17" i="16"/>
  <c r="AO17" i="16" s="1"/>
  <c r="AQ17" i="16" s="1"/>
  <c r="AC10" i="16"/>
  <c r="AO10" i="16" s="1"/>
  <c r="AQ10" i="16" s="1"/>
  <c r="AC9" i="16"/>
  <c r="AO9" i="16" s="1"/>
  <c r="AQ9" i="16" s="1"/>
  <c r="AC5" i="16"/>
  <c r="AO5" i="16" s="1"/>
  <c r="AQ5" i="16" s="1"/>
  <c r="AC13" i="16"/>
  <c r="AO13" i="16" s="1"/>
  <c r="AQ13" i="16" s="1"/>
  <c r="AC18" i="16"/>
  <c r="AO18" i="16" s="1"/>
  <c r="AQ18" i="16" s="1"/>
  <c r="AC12" i="16"/>
  <c r="AO12" i="16" s="1"/>
  <c r="AQ12" i="16" s="1"/>
  <c r="AC8" i="16"/>
  <c r="AO8" i="16" s="1"/>
  <c r="AQ8" i="16" s="1"/>
  <c r="AC7" i="16"/>
  <c r="AO7" i="16" s="1"/>
  <c r="AQ7" i="16" s="1"/>
  <c r="Z3" i="16"/>
  <c r="AA3" i="16"/>
  <c r="AO16" i="16" l="1"/>
  <c r="AB3" i="16"/>
  <c r="AQ16" i="16" l="1"/>
  <c r="AC3" i="16"/>
  <c r="AO3" i="16" l="1"/>
  <c r="AQ3" i="16" l="1"/>
  <c r="A15" i="72" l="1"/>
  <c r="B15" i="72"/>
  <c r="B21" i="72" l="1"/>
  <c r="A21" i="72"/>
  <c r="A18" i="72" l="1"/>
  <c r="A19" i="72"/>
  <c r="A20" i="72"/>
  <c r="B18" i="72"/>
  <c r="B19" i="72"/>
  <c r="B20" i="72"/>
  <c r="A6" i="72"/>
  <c r="B6" i="72"/>
  <c r="A7" i="72"/>
  <c r="B7" i="72"/>
  <c r="A8" i="72"/>
  <c r="B8" i="72"/>
  <c r="A9" i="72"/>
  <c r="B9" i="72"/>
  <c r="A10" i="72"/>
  <c r="B10" i="72"/>
  <c r="A11" i="72"/>
  <c r="B11" i="72"/>
  <c r="A12" i="72"/>
  <c r="B12" i="72"/>
  <c r="A13" i="72"/>
  <c r="B13" i="72"/>
  <c r="A14" i="72"/>
  <c r="B14" i="72"/>
  <c r="A16" i="72"/>
  <c r="B16" i="72"/>
  <c r="A17" i="72"/>
  <c r="B17" i="72"/>
  <c r="B5" i="72"/>
  <c r="A5" i="72"/>
  <c r="S25" i="29" l="1"/>
  <c r="F27" i="64" l="1"/>
  <c r="F28" i="64" s="1"/>
  <c r="F29" i="64" s="1"/>
  <c r="F30" i="64" s="1"/>
  <c r="F31" i="64" s="1"/>
  <c r="F32" i="64" s="1"/>
  <c r="F33" i="64" s="1"/>
  <c r="F34" i="64" s="1"/>
  <c r="F35" i="64" s="1"/>
  <c r="F36" i="64" s="1"/>
  <c r="F37" i="64" s="1"/>
  <c r="F38" i="64" s="1"/>
  <c r="F39" i="64" s="1"/>
  <c r="F40" i="64" s="1"/>
  <c r="F41" i="64" s="1"/>
  <c r="F42" i="64" s="1"/>
  <c r="F43" i="64" s="1"/>
  <c r="F44" i="64" s="1"/>
  <c r="F25" i="64"/>
  <c r="F27" i="66"/>
  <c r="F28" i="66" s="1"/>
  <c r="F29" i="66" s="1"/>
  <c r="F30" i="66" s="1"/>
  <c r="F31" i="66" s="1"/>
  <c r="F32" i="66" s="1"/>
  <c r="F33" i="66" s="1"/>
  <c r="F34" i="66" s="1"/>
  <c r="F35" i="66" s="1"/>
  <c r="F36" i="66" s="1"/>
  <c r="F37" i="66" s="1"/>
  <c r="F38" i="66" s="1"/>
  <c r="F39" i="66" s="1"/>
  <c r="F40" i="66" s="1"/>
  <c r="F41" i="66" s="1"/>
  <c r="F42" i="66" s="1"/>
  <c r="F43" i="66" s="1"/>
  <c r="F44" i="66" s="1"/>
  <c r="F25" i="66"/>
  <c r="F27" i="67"/>
  <c r="F28" i="67" s="1"/>
  <c r="F29" i="67" s="1"/>
  <c r="F30" i="67" s="1"/>
  <c r="F31" i="67" s="1"/>
  <c r="F32" i="67" s="1"/>
  <c r="F33" i="67" s="1"/>
  <c r="F34" i="67" s="1"/>
  <c r="F35" i="67" s="1"/>
  <c r="F36" i="67" s="1"/>
  <c r="F37" i="67" s="1"/>
  <c r="F38" i="67" s="1"/>
  <c r="F39" i="67" s="1"/>
  <c r="F40" i="67" s="1"/>
  <c r="F41" i="67" s="1"/>
  <c r="F42" i="67" s="1"/>
  <c r="F43" i="67" s="1"/>
  <c r="F44" i="67" s="1"/>
  <c r="F25" i="67"/>
  <c r="F27" i="68"/>
  <c r="F28" i="68" s="1"/>
  <c r="F29" i="68" s="1"/>
  <c r="F30" i="68" s="1"/>
  <c r="F31" i="68" s="1"/>
  <c r="F32" i="68" s="1"/>
  <c r="F33" i="68" s="1"/>
  <c r="F34" i="68" s="1"/>
  <c r="F35" i="68" s="1"/>
  <c r="F36" i="68" s="1"/>
  <c r="F37" i="68" s="1"/>
  <c r="F38" i="68" s="1"/>
  <c r="F39" i="68" s="1"/>
  <c r="F40" i="68" s="1"/>
  <c r="F41" i="68" s="1"/>
  <c r="F42" i="68" s="1"/>
  <c r="F43" i="68" s="1"/>
  <c r="F44" i="68" s="1"/>
  <c r="F25" i="68"/>
  <c r="F27" i="69"/>
  <c r="F28" i="69" s="1"/>
  <c r="F29" i="69" s="1"/>
  <c r="F30" i="69" s="1"/>
  <c r="F31" i="69" s="1"/>
  <c r="F32" i="69" s="1"/>
  <c r="F33" i="69" s="1"/>
  <c r="F34" i="69" s="1"/>
  <c r="F35" i="69" s="1"/>
  <c r="F36" i="69" s="1"/>
  <c r="F37" i="69" s="1"/>
  <c r="F38" i="69" s="1"/>
  <c r="F39" i="69" s="1"/>
  <c r="F40" i="69" s="1"/>
  <c r="F41" i="69" s="1"/>
  <c r="F42" i="69" s="1"/>
  <c r="F43" i="69" s="1"/>
  <c r="F44" i="69" s="1"/>
  <c r="F25" i="69"/>
  <c r="F27" i="70"/>
  <c r="F28" i="70" s="1"/>
  <c r="F29" i="70" s="1"/>
  <c r="F30" i="70" s="1"/>
  <c r="F31" i="70" s="1"/>
  <c r="F32" i="70" s="1"/>
  <c r="F33" i="70" s="1"/>
  <c r="F34" i="70" s="1"/>
  <c r="F35" i="70" s="1"/>
  <c r="F36" i="70" s="1"/>
  <c r="F37" i="70" s="1"/>
  <c r="F38" i="70" s="1"/>
  <c r="F39" i="70" s="1"/>
  <c r="F40" i="70" s="1"/>
  <c r="F41" i="70" s="1"/>
  <c r="F42" i="70" s="1"/>
  <c r="F43" i="70" s="1"/>
  <c r="F44" i="70" s="1"/>
  <c r="F25" i="70"/>
  <c r="B6" i="70" l="1"/>
  <c r="B6" i="69"/>
  <c r="B6" i="68"/>
  <c r="B6" i="67"/>
  <c r="B6" i="66"/>
  <c r="B6" i="64"/>
  <c r="B104" i="67" l="1"/>
  <c r="B104" i="69"/>
  <c r="B104" i="66"/>
  <c r="B104" i="64"/>
  <c r="B104" i="70"/>
  <c r="B104" i="68"/>
  <c r="E10" i="31" l="1"/>
  <c r="E25" i="29" l="1"/>
  <c r="B6" i="18" l="1"/>
  <c r="B5" i="18"/>
  <c r="B4" i="18"/>
  <c r="H27" i="30" l="1"/>
  <c r="F9" i="31" l="1"/>
  <c r="F8" i="31" l="1"/>
  <c r="H25" i="29" l="1"/>
  <c r="K27" i="30" l="1"/>
  <c r="G25" i="29"/>
  <c r="D27" i="30"/>
  <c r="J27" i="30" l="1"/>
  <c r="J5" i="8"/>
  <c r="D48" i="18"/>
  <c r="D47" i="18"/>
  <c r="D40" i="18"/>
  <c r="C7" i="8" s="1"/>
  <c r="D36" i="18"/>
  <c r="D37" i="18" s="1"/>
  <c r="C6" i="8"/>
  <c r="F7" i="8" l="1"/>
  <c r="G7" i="8"/>
  <c r="G6" i="8"/>
  <c r="F6" i="8"/>
  <c r="I5" i="8"/>
  <c r="I6" i="8"/>
  <c r="D10" i="31" l="1"/>
  <c r="S27" i="30"/>
  <c r="D53" i="18"/>
  <c r="J7" i="8" s="1"/>
  <c r="J6" i="8"/>
  <c r="I8" i="8" l="1"/>
  <c r="J8" i="8" l="1"/>
  <c r="R7" i="8" l="1"/>
  <c r="Q7" i="8"/>
  <c r="P7" i="8"/>
  <c r="O7" i="8"/>
  <c r="N7" i="8"/>
  <c r="R6" i="8"/>
  <c r="Q6" i="8"/>
  <c r="P6" i="8"/>
  <c r="O6" i="8"/>
  <c r="N6" i="8"/>
  <c r="H6" i="8" l="1"/>
  <c r="E6" i="8" l="1"/>
  <c r="D6" i="8" l="1"/>
  <c r="K6" i="8" s="1"/>
  <c r="N5" i="8" l="1"/>
  <c r="O5" i="8"/>
  <c r="P5" i="8"/>
  <c r="Q5" i="8"/>
  <c r="R5" i="8"/>
  <c r="G5" i="8" l="1"/>
  <c r="G8" i="8" s="1"/>
  <c r="F5" i="8"/>
  <c r="F8" i="8" s="1"/>
  <c r="L6" i="8"/>
  <c r="C5" i="8"/>
  <c r="C8" i="8" s="1"/>
  <c r="E5" i="8"/>
  <c r="E8" i="8" s="1"/>
  <c r="D5" i="8"/>
  <c r="H5" i="8" l="1"/>
  <c r="D8" i="8"/>
  <c r="H8" i="8" l="1"/>
  <c r="K5" i="8"/>
  <c r="K8" i="8" s="1"/>
  <c r="L5" i="8" l="1"/>
  <c r="L8" i="8" s="1"/>
  <c r="P25" i="29" l="1"/>
  <c r="J25" i="29" l="1"/>
  <c r="M25" i="29" l="1"/>
  <c r="X25" i="29"/>
  <c r="T25" i="29" l="1"/>
  <c r="AL36" i="29" l="1"/>
  <c r="V25" i="29"/>
  <c r="C10" i="31" l="1"/>
  <c r="F7" i="31"/>
  <c r="F10" i="31" s="1"/>
  <c r="D7" i="72" l="1"/>
  <c r="D9" i="72"/>
  <c r="D11" i="72"/>
  <c r="D13" i="72"/>
  <c r="D15" i="72"/>
  <c r="B19" i="67"/>
  <c r="B19" i="69"/>
  <c r="C6" i="72"/>
  <c r="C8" i="72"/>
  <c r="C10" i="72"/>
  <c r="C12" i="72"/>
  <c r="C13" i="72"/>
  <c r="B7" i="64"/>
  <c r="B7" i="66"/>
  <c r="B7" i="68"/>
  <c r="B7" i="70"/>
  <c r="D6" i="72"/>
  <c r="D8" i="72"/>
  <c r="D10" i="72"/>
  <c r="D12" i="72"/>
  <c r="B8" i="64"/>
  <c r="B8" i="66"/>
  <c r="B8" i="67"/>
  <c r="B8" i="68"/>
  <c r="B8" i="69"/>
  <c r="B8" i="70"/>
  <c r="B7" i="67"/>
  <c r="B7" i="69"/>
  <c r="B15" i="18"/>
  <c r="D52" i="18" s="1"/>
  <c r="I7" i="8" s="1"/>
  <c r="B24" i="67"/>
  <c r="C68" i="67" s="1"/>
  <c r="B24" i="69"/>
  <c r="C68" i="69" s="1"/>
  <c r="D5" i="72"/>
  <c r="C7" i="72"/>
  <c r="C9" i="72"/>
  <c r="C11" i="72"/>
  <c r="C15" i="72"/>
  <c r="B24" i="64"/>
  <c r="C68" i="64" s="1"/>
  <c r="B24" i="66"/>
  <c r="C68" i="66" s="1"/>
  <c r="C5" i="72"/>
  <c r="B19" i="64"/>
  <c r="B19" i="66"/>
  <c r="B19" i="68"/>
  <c r="B19" i="70"/>
  <c r="B17" i="64"/>
  <c r="B17" i="66"/>
  <c r="B17" i="67"/>
  <c r="B17" i="68"/>
  <c r="B17" i="69"/>
  <c r="B17" i="70"/>
  <c r="I7" i="71" l="1"/>
  <c r="C69" i="67"/>
  <c r="J7" i="71" s="1"/>
  <c r="B22" i="67"/>
  <c r="I6" i="71"/>
  <c r="C69" i="66"/>
  <c r="J6" i="71" s="1"/>
  <c r="B22" i="64"/>
  <c r="I9" i="71"/>
  <c r="C69" i="69"/>
  <c r="B12" i="68"/>
  <c r="B12" i="67"/>
  <c r="B12" i="64"/>
  <c r="C13" i="18"/>
  <c r="B22" i="70"/>
  <c r="C20" i="72"/>
  <c r="B4" i="70"/>
  <c r="C14" i="72"/>
  <c r="B4" i="64"/>
  <c r="D21" i="72"/>
  <c r="I5" i="71"/>
  <c r="C69" i="64"/>
  <c r="J5" i="71" s="1"/>
  <c r="B13" i="18"/>
  <c r="D41" i="18" s="1"/>
  <c r="D42" i="18" s="1"/>
  <c r="D43" i="18" s="1"/>
  <c r="C19" i="72"/>
  <c r="B4" i="69"/>
  <c r="D19" i="72"/>
  <c r="B5" i="69"/>
  <c r="B12" i="70"/>
  <c r="B12" i="66"/>
  <c r="D14" i="72"/>
  <c r="B5" i="64"/>
  <c r="B22" i="68"/>
  <c r="C21" i="72"/>
  <c r="C16" i="72"/>
  <c r="B4" i="66"/>
  <c r="D16" i="72"/>
  <c r="B5" i="66"/>
  <c r="C18" i="72"/>
  <c r="B4" i="68"/>
  <c r="D20" i="72"/>
  <c r="B5" i="70"/>
  <c r="B12" i="69"/>
  <c r="B22" i="69"/>
  <c r="D18" i="72"/>
  <c r="B5" i="68"/>
  <c r="B22" i="66"/>
  <c r="C17" i="72"/>
  <c r="B4" i="67"/>
  <c r="D17" i="72"/>
  <c r="B5" i="67"/>
  <c r="B13" i="70" l="1"/>
  <c r="D7" i="8"/>
  <c r="B13" i="69"/>
  <c r="C12" i="70"/>
  <c r="B13" i="67"/>
  <c r="C12" i="68"/>
  <c r="C23" i="64"/>
  <c r="C60" i="64" s="1"/>
  <c r="B23" i="64"/>
  <c r="C12" i="69"/>
  <c r="B13" i="66"/>
  <c r="B13" i="68"/>
  <c r="C23" i="67"/>
  <c r="C60" i="67" s="1"/>
  <c r="B23" i="67"/>
  <c r="C23" i="66"/>
  <c r="C60" i="66" s="1"/>
  <c r="B23" i="66"/>
  <c r="C23" i="70"/>
  <c r="C60" i="70" s="1"/>
  <c r="B23" i="70"/>
  <c r="B13" i="64"/>
  <c r="C12" i="67"/>
  <c r="C23" i="69"/>
  <c r="C60" i="69" s="1"/>
  <c r="B23" i="69"/>
  <c r="B23" i="68"/>
  <c r="C23" i="68"/>
  <c r="C60" i="68" s="1"/>
  <c r="C12" i="66"/>
  <c r="C13" i="67" l="1"/>
  <c r="B12" i="18"/>
  <c r="B14" i="18" s="1"/>
  <c r="D44" i="18" s="1"/>
  <c r="E7" i="8" s="1"/>
  <c r="B18" i="66"/>
  <c r="C18" i="66"/>
  <c r="C13" i="69"/>
  <c r="C13" i="68"/>
  <c r="C17" i="70"/>
  <c r="C13" i="70"/>
  <c r="B18" i="68"/>
  <c r="C18" i="68"/>
  <c r="B18" i="67"/>
  <c r="C18" i="67"/>
  <c r="C13" i="66"/>
  <c r="C18" i="64"/>
  <c r="B18" i="64"/>
  <c r="B18" i="69"/>
  <c r="C18" i="69"/>
  <c r="C18" i="70"/>
  <c r="B18" i="70"/>
  <c r="C17" i="66" l="1"/>
  <c r="C17" i="69"/>
  <c r="C17" i="68"/>
  <c r="C17" i="67"/>
  <c r="C16" i="70" l="1"/>
  <c r="C16" i="66" l="1"/>
  <c r="C15" i="66"/>
  <c r="C15" i="69"/>
  <c r="C16" i="68"/>
  <c r="C14" i="66"/>
  <c r="C16" i="67"/>
  <c r="C14" i="69"/>
  <c r="C14" i="67"/>
  <c r="C14" i="70"/>
  <c r="C15" i="68"/>
  <c r="C14" i="68"/>
  <c r="C16" i="69"/>
  <c r="C15" i="67"/>
  <c r="C15" i="70"/>
  <c r="C21" i="70" l="1"/>
  <c r="C20" i="70"/>
  <c r="C21" i="69" l="1"/>
  <c r="C20" i="66" l="1"/>
  <c r="C20" i="69"/>
  <c r="C21" i="67"/>
  <c r="C21" i="68"/>
  <c r="C20" i="67"/>
  <c r="C21" i="66"/>
  <c r="C20" i="68"/>
  <c r="C19" i="67" l="1"/>
  <c r="C19" i="66"/>
  <c r="C12" i="18"/>
  <c r="C14" i="18" s="1"/>
  <c r="D49" i="18" s="1"/>
  <c r="C19" i="69"/>
  <c r="C19" i="68"/>
  <c r="C19" i="70"/>
  <c r="H7" i="8" l="1"/>
  <c r="K7" i="8" s="1"/>
  <c r="D55" i="18"/>
  <c r="C22" i="68"/>
  <c r="B24" i="68"/>
  <c r="C68" i="68" s="1"/>
  <c r="C22" i="66"/>
  <c r="C22" i="69"/>
  <c r="C22" i="67"/>
  <c r="C22" i="70"/>
  <c r="C69" i="68" l="1"/>
  <c r="J8" i="71" s="1"/>
  <c r="I8" i="71"/>
  <c r="B70" i="18"/>
  <c r="C70" i="18" s="1"/>
  <c r="B65" i="18"/>
  <c r="C65" i="18" s="1"/>
  <c r="B74" i="18"/>
  <c r="C74" i="18" s="1"/>
  <c r="B61" i="18"/>
  <c r="C61" i="18" s="1"/>
  <c r="B66" i="18"/>
  <c r="C66" i="18" s="1"/>
  <c r="B62" i="18"/>
  <c r="C62" i="18" s="1"/>
  <c r="B69" i="18"/>
  <c r="C69" i="18" s="1"/>
  <c r="B60" i="18"/>
  <c r="C60" i="18" s="1"/>
  <c r="B68" i="18"/>
  <c r="C68" i="18" s="1"/>
  <c r="B71" i="18"/>
  <c r="C71" i="18" s="1"/>
  <c r="B67" i="18"/>
  <c r="C67" i="18" s="1"/>
  <c r="B64" i="18"/>
  <c r="C64" i="18" s="1"/>
  <c r="B73" i="18"/>
  <c r="C73" i="18" s="1"/>
  <c r="B72" i="18"/>
  <c r="C72" i="18" s="1"/>
  <c r="B63" i="18"/>
  <c r="C63" i="18" s="1"/>
  <c r="C75" i="18" l="1"/>
  <c r="D56" i="18" s="1"/>
  <c r="L7" i="8" s="1"/>
  <c r="B24" i="70"/>
  <c r="C68" i="70" s="1"/>
  <c r="I10" i="71" l="1"/>
  <c r="I11" i="71" s="1"/>
  <c r="C69" i="70"/>
  <c r="J10" i="71" l="1"/>
  <c r="J11" i="71" s="1"/>
  <c r="C61" i="69" l="1"/>
  <c r="C63" i="69"/>
  <c r="C53" i="69" l="1"/>
  <c r="C100" i="69"/>
  <c r="C102" i="69"/>
  <c r="C99" i="69"/>
  <c r="C98" i="69"/>
  <c r="C103" i="69"/>
  <c r="C101" i="69"/>
  <c r="D104" i="69"/>
  <c r="C104" i="69" l="1"/>
  <c r="C55" i="69" l="1"/>
  <c r="W6" i="16" l="1"/>
  <c r="Z6" i="16"/>
  <c r="AB6" i="16" l="1"/>
  <c r="N6" i="16"/>
  <c r="AC6" i="16" l="1"/>
  <c r="O6" i="16" l="1"/>
  <c r="AL6" i="16"/>
  <c r="AO6" i="16" l="1"/>
  <c r="AQ6" i="16" l="1"/>
  <c r="AD20" i="16" l="1"/>
  <c r="AE20" i="16"/>
  <c r="AF20" i="16"/>
  <c r="C16" i="64" l="1"/>
  <c r="C15" i="64"/>
  <c r="C14" i="64"/>
  <c r="AM20" i="16" l="1"/>
  <c r="AJ20" i="16"/>
  <c r="V20" i="16"/>
  <c r="W11" i="16" l="1"/>
  <c r="W20" i="16" s="1"/>
  <c r="Z11" i="16"/>
  <c r="Z20" i="16" s="1"/>
  <c r="C20" i="64"/>
  <c r="AB11" i="16" l="1"/>
  <c r="AB20" i="16" s="1"/>
  <c r="C13" i="64"/>
  <c r="N11" i="16"/>
  <c r="C12" i="64"/>
  <c r="AC11" i="16" l="1"/>
  <c r="AC20" i="16" s="1"/>
  <c r="C17" i="64" l="1"/>
  <c r="AN20" i="16" l="1"/>
  <c r="C21" i="64" l="1"/>
  <c r="AK20" i="16" l="1"/>
  <c r="O11" i="16" l="1"/>
  <c r="C19" i="64"/>
  <c r="AL11" i="16"/>
  <c r="AL20" i="16" s="1"/>
  <c r="C22" i="64" l="1"/>
  <c r="AO11" i="16"/>
  <c r="AO20" i="16" s="1"/>
  <c r="AQ11" i="16" l="1"/>
  <c r="AQ20" i="16" s="1"/>
  <c r="C56" i="69" l="1"/>
  <c r="C57" i="69"/>
  <c r="D9" i="71" s="1"/>
  <c r="C9" i="71"/>
  <c r="C99" i="64" l="1"/>
  <c r="C53" i="64"/>
  <c r="C103" i="64"/>
  <c r="C102" i="64"/>
  <c r="C98" i="64"/>
  <c r="C101" i="64"/>
  <c r="C100" i="64"/>
  <c r="C103" i="70"/>
  <c r="C101" i="70"/>
  <c r="C99" i="70"/>
  <c r="C53" i="70"/>
  <c r="C100" i="70"/>
  <c r="C102" i="70"/>
  <c r="C98" i="70"/>
  <c r="C98" i="68"/>
  <c r="C100" i="68"/>
  <c r="C99" i="68"/>
  <c r="C53" i="68"/>
  <c r="C103" i="68"/>
  <c r="C101" i="68"/>
  <c r="C102" i="68"/>
  <c r="C63" i="67"/>
  <c r="C61" i="67"/>
  <c r="C103" i="67"/>
  <c r="C98" i="67"/>
  <c r="C101" i="67"/>
  <c r="C100" i="67"/>
  <c r="C99" i="67"/>
  <c r="C102" i="67"/>
  <c r="C53" i="67"/>
  <c r="C63" i="70"/>
  <c r="C61" i="70"/>
  <c r="C61" i="66"/>
  <c r="C63" i="66"/>
  <c r="C64" i="69"/>
  <c r="H9" i="71" s="1"/>
  <c r="C65" i="69"/>
  <c r="G9" i="71" s="1"/>
  <c r="F9" i="71"/>
  <c r="C100" i="66"/>
  <c r="C102" i="66"/>
  <c r="C98" i="66"/>
  <c r="C53" i="66"/>
  <c r="C99" i="66"/>
  <c r="C103" i="66"/>
  <c r="C101" i="66"/>
  <c r="C61" i="68"/>
  <c r="C63" i="68"/>
  <c r="E9" i="71"/>
  <c r="C71" i="69" l="1"/>
  <c r="L9" i="71"/>
  <c r="D104" i="68"/>
  <c r="D104" i="67"/>
  <c r="B79" i="69"/>
  <c r="C79" i="69" s="1"/>
  <c r="B81" i="69"/>
  <c r="C81" i="69" s="1"/>
  <c r="B87" i="69"/>
  <c r="C87" i="69" s="1"/>
  <c r="B88" i="69"/>
  <c r="C88" i="69" s="1"/>
  <c r="B76" i="69"/>
  <c r="C76" i="69" s="1"/>
  <c r="B77" i="69"/>
  <c r="C77" i="69" s="1"/>
  <c r="B90" i="69"/>
  <c r="C90" i="69" s="1"/>
  <c r="B84" i="69"/>
  <c r="C84" i="69" s="1"/>
  <c r="B89" i="69"/>
  <c r="C89" i="69" s="1"/>
  <c r="B82" i="69"/>
  <c r="C82" i="69" s="1"/>
  <c r="B80" i="69"/>
  <c r="C80" i="69" s="1"/>
  <c r="B86" i="69"/>
  <c r="C86" i="69" s="1"/>
  <c r="B83" i="69"/>
  <c r="C83" i="69" s="1"/>
  <c r="B78" i="69"/>
  <c r="C78" i="69" s="1"/>
  <c r="B85" i="69"/>
  <c r="C85" i="69" s="1"/>
  <c r="C104" i="66"/>
  <c r="C65" i="66"/>
  <c r="G6" i="71" s="1"/>
  <c r="C64" i="66"/>
  <c r="H6" i="71" s="1"/>
  <c r="F6" i="71"/>
  <c r="C104" i="67"/>
  <c r="F7" i="71"/>
  <c r="C65" i="67"/>
  <c r="G7" i="71" s="1"/>
  <c r="C64" i="67"/>
  <c r="H7" i="71" s="1"/>
  <c r="C104" i="68"/>
  <c r="C57" i="70"/>
  <c r="D10" i="71" s="1"/>
  <c r="C10" i="71"/>
  <c r="C57" i="66"/>
  <c r="D6" i="71" s="1"/>
  <c r="C57" i="67"/>
  <c r="D7" i="71" s="1"/>
  <c r="C7" i="71"/>
  <c r="F10" i="71"/>
  <c r="C65" i="70"/>
  <c r="G10" i="71" s="1"/>
  <c r="C64" i="70"/>
  <c r="H10" i="71" s="1"/>
  <c r="C57" i="68"/>
  <c r="D8" i="71" s="1"/>
  <c r="C8" i="71"/>
  <c r="C104" i="70"/>
  <c r="C57" i="64"/>
  <c r="D5" i="71" s="1"/>
  <c r="C5" i="71"/>
  <c r="C65" i="68"/>
  <c r="G8" i="71" s="1"/>
  <c r="F8" i="71"/>
  <c r="C64" i="68"/>
  <c r="H8" i="71" s="1"/>
  <c r="D104" i="70"/>
  <c r="D104" i="66"/>
  <c r="D104" i="64"/>
  <c r="C6" i="71"/>
  <c r="C104" i="64"/>
  <c r="C11" i="71" l="1"/>
  <c r="C91" i="69"/>
  <c r="C72" i="69" s="1"/>
  <c r="K5" i="71" l="1"/>
  <c r="C47" i="64"/>
  <c r="C48" i="64" s="1"/>
  <c r="K8" i="71" l="1"/>
  <c r="C47" i="68"/>
  <c r="C48" i="68" s="1"/>
  <c r="K9" i="71"/>
  <c r="C47" i="69"/>
  <c r="C48" i="69" s="1"/>
  <c r="C47" i="66"/>
  <c r="C48" i="66" s="1"/>
  <c r="K6" i="71"/>
  <c r="K7" i="71"/>
  <c r="C47" i="67"/>
  <c r="C48" i="67" s="1"/>
  <c r="C63" i="64" l="1"/>
  <c r="C61" i="64"/>
  <c r="C64" i="64" l="1"/>
  <c r="H5" i="71" s="1"/>
  <c r="H11" i="71" s="1"/>
  <c r="C65" i="64"/>
  <c r="G5" i="71" s="1"/>
  <c r="F5" i="71"/>
  <c r="F11" i="71" s="1"/>
  <c r="G11" i="71" l="1"/>
  <c r="K10" i="71" l="1"/>
  <c r="K11" i="71" s="1"/>
  <c r="C47" i="70"/>
  <c r="C48" i="70" s="1"/>
  <c r="C55" i="68" l="1"/>
  <c r="C56" i="68"/>
  <c r="C55" i="66"/>
  <c r="C56" i="66"/>
  <c r="C71" i="66" l="1"/>
  <c r="E6" i="71"/>
  <c r="L6" i="71" s="1"/>
  <c r="C55" i="70"/>
  <c r="C56" i="70"/>
  <c r="C71" i="68"/>
  <c r="E8" i="71"/>
  <c r="L8" i="71" s="1"/>
  <c r="C55" i="67"/>
  <c r="C56" i="67"/>
  <c r="C71" i="67" l="1"/>
  <c r="E7" i="71"/>
  <c r="L7" i="71" s="1"/>
  <c r="C71" i="70"/>
  <c r="E10" i="71"/>
  <c r="L10" i="71" s="1"/>
  <c r="B89" i="68"/>
  <c r="C89" i="68" s="1"/>
  <c r="B85" i="68"/>
  <c r="C85" i="68" s="1"/>
  <c r="B76" i="68"/>
  <c r="C76" i="68" s="1"/>
  <c r="B90" i="68"/>
  <c r="C90" i="68" s="1"/>
  <c r="B87" i="68"/>
  <c r="C87" i="68" s="1"/>
  <c r="B79" i="68"/>
  <c r="C79" i="68" s="1"/>
  <c r="B80" i="68"/>
  <c r="C80" i="68" s="1"/>
  <c r="B86" i="68"/>
  <c r="C86" i="68" s="1"/>
  <c r="B84" i="68"/>
  <c r="C84" i="68" s="1"/>
  <c r="B78" i="68"/>
  <c r="C78" i="68" s="1"/>
  <c r="B83" i="68"/>
  <c r="C83" i="68" s="1"/>
  <c r="B77" i="68"/>
  <c r="C77" i="68" s="1"/>
  <c r="B82" i="68"/>
  <c r="C82" i="68" s="1"/>
  <c r="B88" i="68"/>
  <c r="C88" i="68" s="1"/>
  <c r="B81" i="68"/>
  <c r="C81" i="68" s="1"/>
  <c r="B76" i="66"/>
  <c r="C76" i="66" s="1"/>
  <c r="B81" i="66"/>
  <c r="C81" i="66" s="1"/>
  <c r="B79" i="66"/>
  <c r="C79" i="66" s="1"/>
  <c r="B85" i="66"/>
  <c r="C85" i="66" s="1"/>
  <c r="B90" i="66"/>
  <c r="C90" i="66" s="1"/>
  <c r="B78" i="66"/>
  <c r="C78" i="66" s="1"/>
  <c r="B77" i="66"/>
  <c r="C77" i="66" s="1"/>
  <c r="B87" i="66"/>
  <c r="C87" i="66" s="1"/>
  <c r="B83" i="66"/>
  <c r="C83" i="66" s="1"/>
  <c r="B80" i="66"/>
  <c r="C80" i="66" s="1"/>
  <c r="B88" i="66"/>
  <c r="C88" i="66" s="1"/>
  <c r="B82" i="66"/>
  <c r="C82" i="66" s="1"/>
  <c r="B84" i="66"/>
  <c r="C84" i="66" s="1"/>
  <c r="B86" i="66"/>
  <c r="C86" i="66" s="1"/>
  <c r="B89" i="66"/>
  <c r="C89" i="66" s="1"/>
  <c r="C91" i="66" l="1"/>
  <c r="C91" i="68"/>
  <c r="B79" i="70"/>
  <c r="C79" i="70" s="1"/>
  <c r="B89" i="70"/>
  <c r="C89" i="70" s="1"/>
  <c r="B77" i="70"/>
  <c r="C77" i="70" s="1"/>
  <c r="B86" i="70"/>
  <c r="C86" i="70" s="1"/>
  <c r="B88" i="70"/>
  <c r="C88" i="70" s="1"/>
  <c r="B76" i="70"/>
  <c r="C76" i="70" s="1"/>
  <c r="B87" i="70"/>
  <c r="C87" i="70" s="1"/>
  <c r="B85" i="70"/>
  <c r="C85" i="70" s="1"/>
  <c r="B82" i="70"/>
  <c r="C82" i="70" s="1"/>
  <c r="B83" i="70"/>
  <c r="C83" i="70" s="1"/>
  <c r="B81" i="70"/>
  <c r="C81" i="70" s="1"/>
  <c r="B80" i="70"/>
  <c r="C80" i="70" s="1"/>
  <c r="B78" i="70"/>
  <c r="C78" i="70" s="1"/>
  <c r="B84" i="70"/>
  <c r="C84" i="70" s="1"/>
  <c r="B90" i="70"/>
  <c r="C90" i="70" s="1"/>
  <c r="B86" i="67"/>
  <c r="C86" i="67" s="1"/>
  <c r="B79" i="67"/>
  <c r="C79" i="67" s="1"/>
  <c r="B82" i="67"/>
  <c r="C82" i="67" s="1"/>
  <c r="B84" i="67"/>
  <c r="C84" i="67" s="1"/>
  <c r="B83" i="67"/>
  <c r="C83" i="67" s="1"/>
  <c r="B85" i="67"/>
  <c r="C85" i="67" s="1"/>
  <c r="B87" i="67"/>
  <c r="C87" i="67" s="1"/>
  <c r="B90" i="67"/>
  <c r="C90" i="67" s="1"/>
  <c r="B76" i="67"/>
  <c r="C76" i="67" s="1"/>
  <c r="B88" i="67"/>
  <c r="C88" i="67" s="1"/>
  <c r="B81" i="67"/>
  <c r="C81" i="67" s="1"/>
  <c r="B80" i="67"/>
  <c r="C80" i="67" s="1"/>
  <c r="B77" i="67"/>
  <c r="C77" i="67" s="1"/>
  <c r="B89" i="67"/>
  <c r="C89" i="67" s="1"/>
  <c r="B78" i="67"/>
  <c r="C78" i="67" s="1"/>
  <c r="C91" i="70" l="1"/>
  <c r="C91" i="67"/>
  <c r="M8" i="71"/>
  <c r="C72" i="68"/>
  <c r="M6" i="71"/>
  <c r="C72" i="66"/>
  <c r="C72" i="67" l="1"/>
  <c r="M7" i="71"/>
  <c r="C72" i="70"/>
  <c r="M10" i="71"/>
  <c r="C55" i="64" l="1"/>
  <c r="C56" i="64"/>
  <c r="E5" i="71" l="1"/>
  <c r="C71" i="64"/>
  <c r="B80" i="64" l="1"/>
  <c r="C80" i="64" s="1"/>
  <c r="B78" i="64"/>
  <c r="C78" i="64" s="1"/>
  <c r="B85" i="64"/>
  <c r="C85" i="64" s="1"/>
  <c r="B88" i="64"/>
  <c r="C88" i="64" s="1"/>
  <c r="B90" i="64"/>
  <c r="C90" i="64" s="1"/>
  <c r="B83" i="64"/>
  <c r="C83" i="64" s="1"/>
  <c r="B82" i="64"/>
  <c r="C82" i="64" s="1"/>
  <c r="B76" i="64"/>
  <c r="C76" i="64" s="1"/>
  <c r="B89" i="64"/>
  <c r="C89" i="64" s="1"/>
  <c r="B86" i="64"/>
  <c r="C86" i="64" s="1"/>
  <c r="B81" i="64"/>
  <c r="C81" i="64" s="1"/>
  <c r="B84" i="64"/>
  <c r="C84" i="64" s="1"/>
  <c r="B87" i="64"/>
  <c r="C87" i="64" s="1"/>
  <c r="B77" i="64"/>
  <c r="C77" i="64" s="1"/>
  <c r="B79" i="64"/>
  <c r="C79" i="64" s="1"/>
  <c r="L5" i="71"/>
  <c r="L11" i="71" s="1"/>
  <c r="E11" i="71"/>
  <c r="D11" i="71" s="1"/>
  <c r="C91" i="64" l="1"/>
  <c r="C72" i="64" l="1"/>
  <c r="M5" i="71"/>
  <c r="M11" i="71" s="1"/>
</calcChain>
</file>

<file path=xl/sharedStrings.xml><?xml version="1.0" encoding="utf-8"?>
<sst xmlns="http://schemas.openxmlformats.org/spreadsheetml/2006/main" count="1157" uniqueCount="485">
  <si>
    <t>PROGRAM IZVAJANJA</t>
  </si>
  <si>
    <t>Splošne zahteve:</t>
  </si>
  <si>
    <t>Pogodbeno zagotavljanje prihrankov</t>
  </si>
  <si>
    <t>diskontna stopnja</t>
  </si>
  <si>
    <t>SKUPAJ NSV:</t>
  </si>
  <si>
    <t>SKUPAJ</t>
  </si>
  <si>
    <t>NSV</t>
  </si>
  <si>
    <t>leto</t>
  </si>
  <si>
    <t>Izračun neto sedanje vrednosti:</t>
  </si>
  <si>
    <t>SKUPAJ neto sedanja vrednost prihranka v €</t>
  </si>
  <si>
    <t>ZAJAMČENI PRIHRANEK SKUPAJ v €</t>
  </si>
  <si>
    <t>Zajamčeni prihranek električne energije v €:</t>
  </si>
  <si>
    <t>Zajamčeni prihranek električne energije v  %:</t>
  </si>
  <si>
    <t>Zajamčeni prihranek električne energijev kWh:</t>
  </si>
  <si>
    <t>Novopričakovana raba električne energije v kWh:</t>
  </si>
  <si>
    <t>Zajamčeni prihranek toplote %:</t>
  </si>
  <si>
    <t>Zajamčeni prihranek toplote v €:</t>
  </si>
  <si>
    <t>Novopričakovana cena toplote v €/kWh:</t>
  </si>
  <si>
    <t>Zajamčeni prihranek toplote v kWh:</t>
  </si>
  <si>
    <t>Novopričakovana raba toplote v kWh:</t>
  </si>
  <si>
    <t>Seznam potrebnih ukrepov</t>
  </si>
  <si>
    <t>€</t>
  </si>
  <si>
    <t>€/kWh</t>
  </si>
  <si>
    <t>kWh</t>
  </si>
  <si>
    <t>Električna energija</t>
  </si>
  <si>
    <t>Toplotna energija</t>
  </si>
  <si>
    <t>Tip energenta:</t>
  </si>
  <si>
    <t>Neto površina m2:</t>
  </si>
  <si>
    <t>Oznaka</t>
  </si>
  <si>
    <t>Naslov:</t>
  </si>
  <si>
    <t>Objekt:</t>
  </si>
  <si>
    <t>Osnovni podatki o objektu</t>
  </si>
  <si>
    <t>OB1</t>
  </si>
  <si>
    <t>%</t>
  </si>
  <si>
    <t>id</t>
  </si>
  <si>
    <t>št.</t>
  </si>
  <si>
    <t xml:space="preserve">Neto sedanje vrednost prihrankov                   € </t>
  </si>
  <si>
    <t xml:space="preserve">ZAJAMČENI PRIHRANEK SKUPAJ                    € </t>
  </si>
  <si>
    <t>zajamčeni prihranek električne energije</t>
  </si>
  <si>
    <t>zajamčeni prihranek toplote</t>
  </si>
  <si>
    <t>C</t>
  </si>
  <si>
    <t xml:space="preserve">nov strošek toplote v €
</t>
  </si>
  <si>
    <t>RAZLIKA MED DEJANSKIM IN ZAJAMČENIM PRIHRANKOM</t>
  </si>
  <si>
    <t>LETNE VREDNOSTI</t>
  </si>
  <si>
    <t>POGODBENE VREDNOSTI</t>
  </si>
  <si>
    <t>ID</t>
  </si>
  <si>
    <t>TOPLOTA</t>
  </si>
  <si>
    <t>faktor uporabe*: v primeru, da je različen od 1, priložen izračun</t>
  </si>
  <si>
    <t>cena  el. energije**</t>
  </si>
  <si>
    <t>prilagojena raba el. energije</t>
  </si>
  <si>
    <t>faktor uporabe*</t>
  </si>
  <si>
    <t>cena el. energije</t>
  </si>
  <si>
    <t>referenčna raba el. energije</t>
  </si>
  <si>
    <t>ELEKTRIČNA ENERGIJA</t>
  </si>
  <si>
    <t>el. energija</t>
  </si>
  <si>
    <t>toplota</t>
  </si>
  <si>
    <t>VSEBINA</t>
  </si>
  <si>
    <t>VZOREC OBRAČUNA</t>
  </si>
  <si>
    <t>VZOREC OBRAČUNOV</t>
  </si>
  <si>
    <t>OSNOVNI PODATKI O OBJEKTU</t>
  </si>
  <si>
    <t>STROŠKI SKUPAJ</t>
  </si>
  <si>
    <t>ime objekta</t>
  </si>
  <si>
    <t>naslov</t>
  </si>
  <si>
    <t>celotna kvadratura [m2]</t>
  </si>
  <si>
    <t>ogrevana kvadratura [m2]</t>
  </si>
  <si>
    <t>hlajena kvadratura [m2]</t>
  </si>
  <si>
    <t>število etaž</t>
  </si>
  <si>
    <t>višina etaže [m]</t>
  </si>
  <si>
    <t>prostornina [m3]</t>
  </si>
  <si>
    <t>leto izgradnje</t>
  </si>
  <si>
    <t>vrsta energenta</t>
  </si>
  <si>
    <t>enota</t>
  </si>
  <si>
    <t>Izkoristek ogrevalnega sistema</t>
  </si>
  <si>
    <t>PODATKI O OBJEKTIH</t>
  </si>
  <si>
    <t>REFERENČNE KOLIČINE</t>
  </si>
  <si>
    <t>OB2</t>
  </si>
  <si>
    <t>OB3</t>
  </si>
  <si>
    <t>UKREPI - SKUPAJ</t>
  </si>
  <si>
    <t xml:space="preserve">ELEKTRIČNA ENERGIJA </t>
  </si>
  <si>
    <t>Zajamčeni prihranek stroškov vzdrževanja v %:</t>
  </si>
  <si>
    <t>Zajamčeni prihranek stroškov vzdrževanja v €:</t>
  </si>
  <si>
    <t>Novopričakovani stroški vzdrževanja v €:</t>
  </si>
  <si>
    <t>Vzdrževanje</t>
  </si>
  <si>
    <t>Referenčna poraba in stroški (zneski brez DDV)</t>
  </si>
  <si>
    <t>zajamčeni prihranek vzdrževanja</t>
  </si>
  <si>
    <t>vzdrževanje</t>
  </si>
  <si>
    <t xml:space="preserve">Opombe: </t>
  </si>
  <si>
    <t>Poraba</t>
  </si>
  <si>
    <t>Strošek</t>
  </si>
  <si>
    <t xml:space="preserve">Cena </t>
  </si>
  <si>
    <t>Vrsta energenta</t>
  </si>
  <si>
    <t>Novopričakovan letni strošek toplote v € :</t>
  </si>
  <si>
    <t>Stroški predlaganih ukrepov v € brez DDV</t>
  </si>
  <si>
    <t>DDV v €</t>
  </si>
  <si>
    <t>Skupni stroški v € z DDV</t>
  </si>
  <si>
    <t xml:space="preserve">leto obnove </t>
  </si>
  <si>
    <t>ELKO</t>
  </si>
  <si>
    <t xml:space="preserve"> - namestitev termostatskih ventilov in posledično hidravlično uravnoteženje</t>
  </si>
  <si>
    <t xml:space="preserve"> - frekvenča regulacija črpalk</t>
  </si>
  <si>
    <t xml:space="preserve"> - zamenjava dotrajane razsvetlajve z energetsko učinkovito</t>
  </si>
  <si>
    <t xml:space="preserve"> - organizacijski ukrepi</t>
  </si>
  <si>
    <t xml:space="preserve"> - energetski management</t>
  </si>
  <si>
    <t xml:space="preserve"> - sanacija vlažnih zidov v notranjosti</t>
  </si>
  <si>
    <t xml:space="preserve"> - senčenje</t>
  </si>
  <si>
    <t xml:space="preserve"> - izolacija sten - fasada na novejšem delu objekta</t>
  </si>
  <si>
    <t xml:space="preserve"> - izolacija podstrešja</t>
  </si>
  <si>
    <t xml:space="preserve"> - sanacija podpostaje</t>
  </si>
  <si>
    <t xml:space="preserve"> - klimatizacija</t>
  </si>
  <si>
    <t xml:space="preserve"> - drenaža</t>
  </si>
  <si>
    <t xml:space="preserve"> - sanaija fasade starejšega dela objekta</t>
  </si>
  <si>
    <t>daljinsko ogrevanje</t>
  </si>
  <si>
    <t>PRILOGE</t>
  </si>
  <si>
    <t>2. Koncesionar mora ukrepe v pogodbeni dobi  izvajati in vzdrževati skladno z veljavnimi predpisi in standardi.</t>
  </si>
  <si>
    <t>3. S svojimi ukrepi koncesionar ne sme znižati standarda (temperature v prostorih, prezračevanje), ki je predpisan v standardu SIST EN 12831 in Smernicami VDI 2067. Če ti pogoji pred ukrepi niso bili doseženi, je potrebno to upoštevati pri referenčnih količinah.</t>
  </si>
  <si>
    <t>NEINVESTICIJSKI UKREPI ZA IZBOLJŠANJE ENERGETSKE UČINKOVITOSTI:</t>
  </si>
  <si>
    <t xml:space="preserve"> - izobraževanje koncedenta in uporabnikov v zvezi s storitvijo energetskega managementa</t>
  </si>
  <si>
    <t>INVESTICIJSKI UKREPI ZA IZBOLJŠANJE ENERGETSKE UČINKOVITOSTI:</t>
  </si>
  <si>
    <t>faktor upor.*
udobje</t>
  </si>
  <si>
    <t>faktor upor.*
št. uporabnikov</t>
  </si>
  <si>
    <t>faktor DTP</t>
  </si>
  <si>
    <t>skupni faktor prilagoditve</t>
  </si>
  <si>
    <t>II. PREDVIDENI UKREPI PO POSAMEZNIH OBJEKTIH</t>
  </si>
  <si>
    <t xml:space="preserve"> - toplota za ogrevanje (kWh)</t>
  </si>
  <si>
    <t xml:space="preserve"> - toplota za ostalo (kWh)</t>
  </si>
  <si>
    <t>Strošek toplote skupaj (€)</t>
  </si>
  <si>
    <t>dovedena energija [kWh]</t>
  </si>
  <si>
    <t>Referenčna poraba/strošek</t>
  </si>
  <si>
    <t>Referenčna raba električne energije skupaj (kWh)</t>
  </si>
  <si>
    <t xml:space="preserve"> - električna energija za razsvetljavo (kWh)</t>
  </si>
  <si>
    <t xml:space="preserve"> - električna energija za ostalo (kWh)</t>
  </si>
  <si>
    <t>Strošek električne energije skupaj (€)</t>
  </si>
  <si>
    <t>Cena električne energije (€/kWh)</t>
  </si>
  <si>
    <t>Strošek tekočega in investicijskega vzdrževanja (€)</t>
  </si>
  <si>
    <t>Vrsta energije</t>
  </si>
  <si>
    <t>Prilagojena referenčna poraba/strošek</t>
  </si>
  <si>
    <t>Referenčna poraba dovedene energije skupaj (kWh)</t>
  </si>
  <si>
    <t>Raba toplote skupaj (kWh)</t>
  </si>
  <si>
    <t>Cena toplote (€/kWh)</t>
  </si>
  <si>
    <t xml:space="preserve">Seznam predvidenih ukrepov </t>
  </si>
  <si>
    <t>Stroški predlaganih ukrepov brez DDV</t>
  </si>
  <si>
    <t>DDV (22%)</t>
  </si>
  <si>
    <t>Skupni stroški z DDV</t>
  </si>
  <si>
    <t>Cena električne energije v €/kWh:</t>
  </si>
  <si>
    <t>Zajamčeni prihranek električne energije v kWh:</t>
  </si>
  <si>
    <t>Dodatni normalizirani prihranek električne energije v kWh:</t>
  </si>
  <si>
    <t>Novopričakovan letni dejanski strošek električne energije v € :</t>
  </si>
  <si>
    <t xml:space="preserve">Zajamčeni in normalizirani prihranek ter prihranek v ceni el. energije v €: </t>
  </si>
  <si>
    <t>Zajamčeni in normalizirani prihranek električne energije v  %:</t>
  </si>
  <si>
    <t>Novopričakovani strošek tekočega in investicijskega vzdrževanja v €:</t>
  </si>
  <si>
    <t>Zajamčeni prihranek stroškov tekočega in investicijskega vzdrževanja v €:</t>
  </si>
  <si>
    <t>Zajamčeni prihranek stroškov tekočega in investicijskega vzdrževanja v %:</t>
  </si>
  <si>
    <t>Predvidena struktura proizvodnje toplote iz posameznega energenta po izvedenih ukrepih:</t>
  </si>
  <si>
    <t>Delež skupaj proizvedene toplote iz energenta</t>
  </si>
  <si>
    <t>El. energija za toplotno črpalko</t>
  </si>
  <si>
    <t>Zemeljski plin</t>
  </si>
  <si>
    <t>Način obračuna</t>
  </si>
  <si>
    <t>Koristna energija</t>
  </si>
  <si>
    <t>referenčna poraba toplote</t>
  </si>
  <si>
    <t>dejanska neprilagojena raba vhodnih energentov 
(odčitki merilnikov porabe energentov)</t>
  </si>
  <si>
    <t>prilagoditve</t>
  </si>
  <si>
    <t>prilagojena raba toplote</t>
  </si>
  <si>
    <t>prilagojena dejanska / normalizirana raba toplote</t>
  </si>
  <si>
    <t>prilagojena raba vhodnih energentov</t>
  </si>
  <si>
    <t>prilagojen strošek vhodnih energentov</t>
  </si>
  <si>
    <t>prilagojen dejanski/ normaliziran strošek vhodnih energentov</t>
  </si>
  <si>
    <t xml:space="preserve">dejanski / normirani 
prihranek vhodnih energentov in stroškov </t>
  </si>
  <si>
    <t>Referenčna cena toplote</t>
  </si>
  <si>
    <t>Zajamčeni prihranki</t>
  </si>
  <si>
    <t>EL. ENERGIJA</t>
  </si>
  <si>
    <t xml:space="preserve">€/kWh </t>
  </si>
  <si>
    <t>kW</t>
  </si>
  <si>
    <t>raba energenta
v kWh</t>
  </si>
  <si>
    <t>referenčna cena energenta v €/kWh</t>
  </si>
  <si>
    <t>strošek energenta v €</t>
  </si>
  <si>
    <t>raba energenta
v Sm3 ali kWh</t>
  </si>
  <si>
    <t>referenčna cena energenta v €/Sm3 ali €/kWh</t>
  </si>
  <si>
    <t>nova cena toplote v €/kWh</t>
  </si>
  <si>
    <t xml:space="preserve">zajamčeni/ normalizirani prihranek v €
</t>
  </si>
  <si>
    <t>raba v kWh</t>
  </si>
  <si>
    <t>ref. cena v €/kWh</t>
  </si>
  <si>
    <t>raba v Sm3 ali kWh</t>
  </si>
  <si>
    <t>ref. cena v €/Sm3</t>
  </si>
  <si>
    <t>Sm3 ali kWh</t>
  </si>
  <si>
    <t>Merjeni prihranki</t>
  </si>
  <si>
    <t>Ogrevanje (brez prezračevanja)</t>
  </si>
  <si>
    <t>Ostalo</t>
  </si>
  <si>
    <t>Skupaj</t>
  </si>
  <si>
    <t>Normali-zirani prihranki</t>
  </si>
  <si>
    <t>Prezračevalni sistem 1 (obstoječ, deluje)</t>
  </si>
  <si>
    <t>SKUPAJ OB1</t>
  </si>
  <si>
    <t>Ogrevanje</t>
  </si>
  <si>
    <t>PRIMER:</t>
  </si>
  <si>
    <t xml:space="preserve">faktor uporabe*: v primeru, da je različen od 1, priložen izračun </t>
  </si>
  <si>
    <t>zajamčena nova raba (koristna energija za ogrevanje)</t>
  </si>
  <si>
    <t>dejanska nova raba</t>
  </si>
  <si>
    <t>Koristna energija - Namen porabe električne energije</t>
  </si>
  <si>
    <t>skupna priključna moč porabnikov</t>
  </si>
  <si>
    <t>nova skupna priključna moč porabnikov</t>
  </si>
  <si>
    <t>zajamčena nova raba el. energije</t>
  </si>
  <si>
    <t>izmerjena letna povprečna skupna priključna moč uporabnikov</t>
  </si>
  <si>
    <t>normalizirana/dejanska  raba el. energije</t>
  </si>
  <si>
    <t>dejanski / normalizirani prihranek el. energije</t>
  </si>
  <si>
    <t>Razsvetljava</t>
  </si>
  <si>
    <t xml:space="preserve">Naprave za ogrevanje </t>
  </si>
  <si>
    <t>Naprave za prezračevanje</t>
  </si>
  <si>
    <t>Naprave za pohlajevanje</t>
  </si>
  <si>
    <t>Ostala poraba</t>
  </si>
  <si>
    <t>Naprave za ogrevanje</t>
  </si>
  <si>
    <t>POVZETEK dejanskih prihrankov</t>
  </si>
  <si>
    <t>SKUPAJ zajamčeni prihranek</t>
  </si>
  <si>
    <t>DOBROPIS:</t>
  </si>
  <si>
    <t>BREMEPIS:</t>
  </si>
  <si>
    <t>Novopričakovana dejanska raba toplote v kWh:</t>
  </si>
  <si>
    <t>Zajamčeni dejanski prihranek toplote v kWh:</t>
  </si>
  <si>
    <t>Dodatni normalizirani prihranek toplote v kWh:</t>
  </si>
  <si>
    <t>Novopričakovan letni dejanski strošek toplote v € :</t>
  </si>
  <si>
    <t>Zajamčeni in normalizirani prihranek toplote v %</t>
  </si>
  <si>
    <t>Količina toplote (kWh)</t>
  </si>
  <si>
    <t>Cena toplote v €/kWh:</t>
  </si>
  <si>
    <t xml:space="preserve">Zajamčeni in normalizirani prihranek ter prihranek v ceni toplote v €: </t>
  </si>
  <si>
    <t>SKUPAJ OB3</t>
  </si>
  <si>
    <t>vsaviti pravilno vrednost</t>
  </si>
  <si>
    <t>SKUPAJ OB2</t>
  </si>
  <si>
    <t>Prezračevalni sistem 2
(ni obstajal, nov)</t>
  </si>
  <si>
    <t>Vsi zneski so BREZ DDV.</t>
  </si>
  <si>
    <t>Prezračevalni sistem 1 (obstoječ, ne deluje)</t>
  </si>
  <si>
    <t>Ogrevanje (brez prezračevanja, skupaj s toplotno črpalko)</t>
  </si>
  <si>
    <t>zajamčeni prihranek el. energije</t>
  </si>
  <si>
    <t>ZEMELJSKI PLIN / DALJINSKA TOPLOTA</t>
  </si>
  <si>
    <t>ZEMELJSKI PLIN /DALJINSKA TOPLOTA</t>
  </si>
  <si>
    <t>Količina dovedene energije (kWh)</t>
  </si>
  <si>
    <t>NOVOPRIČAKOVANA RABA  DOVEDENE ENERGIJE</t>
  </si>
  <si>
    <t>dovedena energija s prilagoditvami [kWh]</t>
  </si>
  <si>
    <t>referenčna raba toplote  s prilagoditvami
[kWh]</t>
  </si>
  <si>
    <t>nova raba dovedene energije v kWh</t>
  </si>
  <si>
    <t>Novopričakovana raba dovedene energije in zajamčeni prihranek dovedene energije</t>
  </si>
  <si>
    <t>dejanska neprilagojena raba DOVEDENE ENERGIJE</t>
  </si>
  <si>
    <t>dovedena energija s prilagoditvami</t>
  </si>
  <si>
    <t>prilagojen strošek dovedene energije</t>
  </si>
  <si>
    <t xml:space="preserve"> cena dovedene energije</t>
  </si>
  <si>
    <t>Vir dovedene energije za ogrevanje</t>
  </si>
  <si>
    <t>OB03</t>
  </si>
  <si>
    <t>OB04</t>
  </si>
  <si>
    <t>OB05</t>
  </si>
  <si>
    <t>OB06</t>
  </si>
  <si>
    <t>OB07</t>
  </si>
  <si>
    <t>OB09</t>
  </si>
  <si>
    <t>OB02</t>
  </si>
  <si>
    <t>OB01</t>
  </si>
  <si>
    <t>OB11</t>
  </si>
  <si>
    <t>OB12</t>
  </si>
  <si>
    <t>OB13</t>
  </si>
  <si>
    <t>OB14</t>
  </si>
  <si>
    <t>OB15</t>
  </si>
  <si>
    <t>OB16</t>
  </si>
  <si>
    <t>OB17</t>
  </si>
  <si>
    <t>ZP</t>
  </si>
  <si>
    <t>UNP</t>
  </si>
  <si>
    <t>m3</t>
  </si>
  <si>
    <t>namembnost objekta</t>
  </si>
  <si>
    <t xml:space="preserve">Cena toplote brez DDV [€/MWh] </t>
  </si>
  <si>
    <t>raba toplote s prilagoditvami [kWh] 
(koristna en.)</t>
  </si>
  <si>
    <t>specifična raba toplote
[kWh/m2]</t>
  </si>
  <si>
    <t>specifična raba elektrike
[kWh/m2]</t>
  </si>
  <si>
    <t>prilagojena raba električne energije
[kWh]</t>
  </si>
  <si>
    <t>raba električne energije [kWh]</t>
  </si>
  <si>
    <t>referenčna cena električne energije [€/kWh]</t>
  </si>
  <si>
    <t>prilagoditev rabe električne energije
[kWh]</t>
  </si>
  <si>
    <t>SKUPAJ VSI STROŠKI 
[€ brez DDV]</t>
  </si>
  <si>
    <t>SKUPAJ STROŠEK ENERGENTOV
[€ brez DDV]</t>
  </si>
  <si>
    <t>prilagojen letni strošek električne energije
[€ brez DDV]</t>
  </si>
  <si>
    <t>referenčni strošek električne energije 
[€ brez DDV]</t>
  </si>
  <si>
    <t>prilagojen letni strošek toplote [€ brez DDV]</t>
  </si>
  <si>
    <t>referenčni strošek toplote [€ brez DDV]</t>
  </si>
  <si>
    <t>Energetsko upravljanje je sklop storitev, ki zajemajo:</t>
  </si>
  <si>
    <t>S sistemom upravljanja mora izvajalec vzpostaviti proces stalnega spremljanja rabe energije in stroškov za oskrbo z energijo, njihovo analizo ter predlog ukrepanja ob negativnih odstopanjih.</t>
  </si>
  <si>
    <t>Spremljanje porabe</t>
  </si>
  <si>
    <t>Pregled porabe energentov v objektu</t>
  </si>
  <si>
    <t>Spremljanje stroškov</t>
  </si>
  <si>
    <t>Spremljanje stroškov energentov</t>
  </si>
  <si>
    <t>Spremljanje stroškov vode</t>
  </si>
  <si>
    <t>Spremljanje stroškov vzdrževanja</t>
  </si>
  <si>
    <t>Analizo porabe energije</t>
  </si>
  <si>
    <t>Analiza porabe energije glede na dnevni temperaturni primanjkljaj</t>
  </si>
  <si>
    <t>Analiza porabe energije glede na število uporabnikov</t>
  </si>
  <si>
    <t>Primerjava porabe med leti</t>
  </si>
  <si>
    <t>Primerjava podobnih objektov med seboj</t>
  </si>
  <si>
    <t>Izdelavo poročil</t>
  </si>
  <si>
    <t>Avtomatsko generiranje poročil</t>
  </si>
  <si>
    <t>Dinamična določitev periode generiranja</t>
  </si>
  <si>
    <t>Opombe</t>
  </si>
  <si>
    <t>Temperatura STV 
(°C)</t>
  </si>
  <si>
    <t>STANDARD UDOBJA V OBJEKTIH</t>
  </si>
  <si>
    <t>Obremenjenost prostora  (oseb/m2)</t>
  </si>
  <si>
    <t>Notranja
temp. zraka
(°C)</t>
  </si>
  <si>
    <t>Toleranca* (°C)</t>
  </si>
  <si>
    <t>Relativna vlažnost zraka 
(%)</t>
  </si>
  <si>
    <t>Povprečna vzdrževana osvetljenost (lux)
EN 12464-1</t>
  </si>
  <si>
    <t>40 - 60</t>
  </si>
  <si>
    <t>Vrtec - Športna igralnica</t>
  </si>
  <si>
    <t>Vrtec - Umivalnica</t>
  </si>
  <si>
    <t>Osnovna šola - Učilnica</t>
  </si>
  <si>
    <t>Garderobe šola, vrtec, šp. Dvorana</t>
  </si>
  <si>
    <t>Kopalnica</t>
  </si>
  <si>
    <t>Sanitarije</t>
  </si>
  <si>
    <t>Pisarne, upravni prostori</t>
  </si>
  <si>
    <t>Avla, avditorij, skupni prostori, hodniki, jedilnica</t>
  </si>
  <si>
    <t>Bazenski prostor</t>
  </si>
  <si>
    <t>25 - 28</t>
  </si>
  <si>
    <t>35 - 60</t>
  </si>
  <si>
    <t>+2°C nad temp. bazenske vode</t>
  </si>
  <si>
    <t>Servisni prostori</t>
  </si>
  <si>
    <t>Minimalna temperatura sanitarne tople vode:</t>
  </si>
  <si>
    <t>Lokacija meritve</t>
  </si>
  <si>
    <t>Na iztočnem mestu (pipa)</t>
  </si>
  <si>
    <t>Minimalno ugodje v prostorih v času izvajanja ogrevanja (pozimi):</t>
  </si>
  <si>
    <t>Vrsta stavbe/prostora:</t>
  </si>
  <si>
    <r>
      <t>Max. koncentracija CO</t>
    </r>
    <r>
      <rPr>
        <b/>
        <vertAlign val="subscript"/>
        <sz val="11"/>
        <color theme="0"/>
        <rFont val="Bookman Old Style"/>
        <family val="1"/>
        <charset val="238"/>
      </rPr>
      <t xml:space="preserve">2 </t>
    </r>
    <r>
      <rPr>
        <b/>
        <sz val="11"/>
        <color theme="0"/>
        <rFont val="Bookman Old Style"/>
        <family val="1"/>
        <charset val="238"/>
      </rPr>
      <t xml:space="preserve"> 
(ppm)</t>
    </r>
  </si>
  <si>
    <r>
      <t>Količina svežega zraka v primeru mehanskega prezračevanja (m</t>
    </r>
    <r>
      <rPr>
        <b/>
        <vertAlign val="superscript"/>
        <sz val="11"/>
        <color theme="0"/>
        <rFont val="Bookman Old Style"/>
        <family val="1"/>
        <charset val="238"/>
      </rPr>
      <t>3</t>
    </r>
    <r>
      <rPr>
        <b/>
        <sz val="11"/>
        <color theme="0"/>
        <rFont val="Bookman Old Style"/>
        <family val="1"/>
        <charset val="238"/>
      </rPr>
      <t>/h m</t>
    </r>
    <r>
      <rPr>
        <b/>
        <vertAlign val="superscript"/>
        <sz val="11"/>
        <color theme="0"/>
        <rFont val="Bookman Old Style"/>
        <family val="1"/>
        <charset val="238"/>
      </rPr>
      <t>2</t>
    </r>
    <r>
      <rPr>
        <b/>
        <sz val="11"/>
        <color theme="0"/>
        <rFont val="Bookman Old Style"/>
        <family val="1"/>
        <charset val="238"/>
      </rPr>
      <t>)</t>
    </r>
  </si>
  <si>
    <t>Vrtec - Igralnica II. starostno obdobje</t>
  </si>
  <si>
    <t>Vrtec - Igralnica I. starostno obdobje</t>
  </si>
  <si>
    <t>* 500 lux v predelu za nego</t>
  </si>
  <si>
    <t>Ordinacije</t>
  </si>
  <si>
    <t>*v vrtcih skladno s pravilnikom</t>
  </si>
  <si>
    <t>Vrednosti so smiselno povzete po pravilniku SIST EN 12831, Pravilnik o prezračevanju stavb (UL RS 42/2002) oziroma na podlagi izkušenj.</t>
  </si>
  <si>
    <t>Pravilnik o pitni vodi in Priporočila IVZ – NIJZ (Nacionalni inštitut za javno zdravje)</t>
  </si>
  <si>
    <t>Pravilnik o normativih in minimalnih tehničnih pogojih za prostor in opremo vrtca (UR RS 73/00, 75/05, 33/08, 126/08, 47/10, 47/13,74/16)</t>
  </si>
  <si>
    <t>Meje odgovornosti koncesionarja za doseganje standardov udobja:</t>
  </si>
  <si>
    <t>Koncesionar ni dolžan zagotavljati doseganja predpisanega standarda osvetlitve, če s svojimi ukrepi ne posega v obstoječe sisteme notranje razsvetljave.</t>
  </si>
  <si>
    <r>
      <t>Koncesionar ni dolžan zagotavljati doseganje predpisanega standarda prezračevanja (CO</t>
    </r>
    <r>
      <rPr>
        <vertAlign val="subscript"/>
        <sz val="11"/>
        <color theme="1"/>
        <rFont val="Bookman Old Style"/>
        <family val="1"/>
        <charset val="238"/>
      </rPr>
      <t>2</t>
    </r>
    <r>
      <rPr>
        <sz val="11"/>
        <color theme="1"/>
        <rFont val="Bookman Old Style"/>
        <family val="1"/>
        <charset val="238"/>
      </rPr>
      <t>, izmenjeva svežega zraka), če objekti nimajo vgrajenih sistemov prisilnih prezračevanj oz. le-ti niso predmet ukrepov energetske sanacije objektov koncedenta.</t>
    </r>
  </si>
  <si>
    <t>Koncesionar ni odgovoren za nedoseganje predpisanih standardov udobja, v kolikor so odstopanja posledica  nezanesljive, nekvalitetne in nepravočasne dobave primarnih energentov s strani koncedenta oz. uporabnikov (npr. dobava biomase, ki ne dosega predpisanih standardov kvalitete določene s projekti Obratovanja in vzdrževanja).</t>
  </si>
  <si>
    <t>Koncesionar ni odgovoren za nedoseganje predpisanih standardov udobja, v kolikor so odstopanja posledica neizvajanja nujno potrebnih vzdrževalnih del na instalacijah, ki niso predmet vzdrževanja koncesionarja in jih je skladno z določenimi mejami projekta tudi nadalje dolžan izvajati koncedent (npr. menjava okvarjenih grelnih teles, radiatorjev, zamenjava dotrajane interne instalacije).</t>
  </si>
  <si>
    <t>Koncesionar ni odgovoren za nedoseganje predpisanih standardov udobja, v kolikor so odstopanja posledica prekinitev ali motene dobave s strani pooblaščenih operaterjev distribucijskih omrežij (električna energija, zemeljski plin, daljinsko ogrevanje).</t>
  </si>
  <si>
    <t xml:space="preserve"> - toplota za STV</t>
  </si>
  <si>
    <t>raba toplote za ogrevanje
[kWh]</t>
  </si>
  <si>
    <t>raba toplote za STV
[kWh]</t>
  </si>
  <si>
    <t>raba toplote za mehansko prezračevanje
[kWh]</t>
  </si>
  <si>
    <t>raba električne energije za razsvetljavo 
[kWh]</t>
  </si>
  <si>
    <t>raba električne energije za ostalo
[kWh]</t>
  </si>
  <si>
    <t>raba toplote  [kWh] 
(koristna en.)</t>
  </si>
  <si>
    <t>Biomasa</t>
  </si>
  <si>
    <t>Daljinsko ogrevanje / Pogodbena oskrba z energijo</t>
  </si>
  <si>
    <t>Izhodišča za normalizacijo ukrepov</t>
  </si>
  <si>
    <t>Ocenjene obratovalne ure naprav</t>
  </si>
  <si>
    <t>Normalizirane obratovalne ure naprav</t>
  </si>
  <si>
    <t>Prezračevanje z rekuperacijo</t>
  </si>
  <si>
    <t>Vgradnja varčne razsvetljave</t>
  </si>
  <si>
    <t>UKREPI (PO OBJEKTIH)</t>
  </si>
  <si>
    <t>Poraba vhodnega energenta 2
ZEMELJSKI PLIN  / ELKO / UNP…</t>
  </si>
  <si>
    <t>Poraba vhodnega energenta 3
DALJINSKO OGREVANJE / POGODBENA OSKRBA S TOPLOTO</t>
  </si>
  <si>
    <t xml:space="preserve">Poraba vhodnega energenta 1
EL. ENERGIJA </t>
  </si>
  <si>
    <t>STROŠEK TEKOČEGA  IN INVESTICIJSKEGA VZDRŽEVANJA ENERGETSKIH NAPRAV (ocena 2,5 €/m2)
[€ brez DDV]</t>
  </si>
  <si>
    <t>*OPOMBA: Toleranca v - (navzdol) je dopustna samo v določenih delih dneva (jutranji zagoni, prezračevanje tekom dneva..) in ne sme presegati 15% obratovalnega časa dnevno.</t>
  </si>
  <si>
    <t>Št.</t>
  </si>
  <si>
    <t>Ukrepi so razvidni iz priložene Projektne naloge.</t>
  </si>
  <si>
    <t>raba energenta [litri, kWh]</t>
  </si>
  <si>
    <t xml:space="preserve">ZAJAMČENI LETNI PRIHRANEK SKUPAJ
€ </t>
  </si>
  <si>
    <t>ZAJAMČENI LETNI PRIHRANEK SKUPAJ v €</t>
  </si>
  <si>
    <t>Referenčna letna raba in stroški energije, stroški vzdrževanja</t>
  </si>
  <si>
    <t>Novopričakovana letna raba in prihranki</t>
  </si>
  <si>
    <t>SEZNAM OBJEKTOV</t>
  </si>
  <si>
    <t>Naziv objekta</t>
  </si>
  <si>
    <t>Naslov</t>
  </si>
  <si>
    <t>Tip objekta</t>
  </si>
  <si>
    <t>* V primeru izvedbe ukrepov, ki dvigujejo udobje, ponudnik vpiše prilagoditev rabe toplote oz. elektrike ob ustrezni utemeljitvi</t>
  </si>
  <si>
    <t xml:space="preserve">** Stroški vzdrževanja energetskih naprav vključujejo tekoče vzdrževanje, redno servisiranje, zakonske preglede ipd. </t>
  </si>
  <si>
    <t>CENE ENERGENTOV OB MENJAVI ENERGENTA</t>
  </si>
  <si>
    <t>VHODNI ENERGENTI:</t>
  </si>
  <si>
    <t>Referenčna vrednost ob menjavi energenta</t>
  </si>
  <si>
    <t>Vhodni energent</t>
  </si>
  <si>
    <t>Merska enota</t>
  </si>
  <si>
    <t>Kurilna vrednost</t>
  </si>
  <si>
    <t>Povprečna cena 
dovedene energije 
(EUR brez DDV)</t>
  </si>
  <si>
    <t>Ekstra lahko kurilno olje (ELKO)</t>
  </si>
  <si>
    <t>l (liter)</t>
  </si>
  <si>
    <t>kWh/l</t>
  </si>
  <si>
    <t>KO</t>
  </si>
  <si>
    <t>Kurilno olje - srednje</t>
  </si>
  <si>
    <t>Kg</t>
  </si>
  <si>
    <t>kWh/kg</t>
  </si>
  <si>
    <t>Sm3</t>
  </si>
  <si>
    <t>kWh/Sm3</t>
  </si>
  <si>
    <t>Utekočinjen naftni plin (UNP)</t>
  </si>
  <si>
    <t>kWh/m3</t>
  </si>
  <si>
    <t>BM</t>
  </si>
  <si>
    <t>Biomasa - briketi, peleti</t>
  </si>
  <si>
    <t>DO</t>
  </si>
  <si>
    <t>Toplota iz daljinskega ogrevanja</t>
  </si>
  <si>
    <t>kWh/kWh</t>
  </si>
  <si>
    <t>EE</t>
  </si>
  <si>
    <t>Električna energija za TČ</t>
  </si>
  <si>
    <t>Opomba: Ponudnik v sklopu predmetne ponudbe ne nudi dobave energentov.</t>
  </si>
  <si>
    <t xml:space="preserve">III. </t>
  </si>
  <si>
    <t>ZAHTEVE NAROČNIKA GLEDE SISTEMA ENERGETSKEGA UPRAVLJANJA</t>
  </si>
  <si>
    <t>-       analizo rabe energije ter stroškov oskrbe z energijo,</t>
  </si>
  <si>
    <t>-       oceno možnih prihrankov energije in stroškov za oskrbo z energijo,</t>
  </si>
  <si>
    <t>-       določitev ukrepov za doseganje teh prihrankov ter oceno njihove izvedljivosti,</t>
  </si>
  <si>
    <t>-       izvedbo ukrepov za doseganje teh prihrankov,</t>
  </si>
  <si>
    <t>-       spremljanje rabe energije in stroškov za energijo, analizo, primerjavo doseganja rezultatov s pričakovanimi,</t>
  </si>
  <si>
    <t>-       ukrepanje ob negativnih odstopanjih.</t>
  </si>
  <si>
    <t>Naročnik je že pridobil podatke za objekte, ki zajemajo osnovno analizo rabe energije in stroškov oskrbe z energijo ter oceno možnih prihrankov energije in stroškov za oskrbo z energijo.</t>
  </si>
  <si>
    <t>Ker na nekaterih objektih ni merilnih naprav za merjenje rabe energije za ogrevanje, mora izvajalec v soglasju z naročnikom vzpostaviti meritve in izvesti vgradnjo merilnih naprav.</t>
  </si>
  <si>
    <t>Energetsko knjigovodstvo, ki ga bo v okviru te pogodbe vzpostavil izvajalec pri naročniku in izvajalcu, mora omogočiti:</t>
  </si>
  <si>
    <t>Program mora omogočati spremljanje porabe in stroškov na letnem in mesečnem nivoju. Vnos podatkov mora zagotavljati izvajalec.</t>
  </si>
  <si>
    <t>Naročnik bo določil uporabnike in njihove pravice za pregledovanje podatkov. Vsak mesec bo do določenega dogovorjenega datuma v mesecu izvajalcu dostavil podatke iz računov za vzdrževanje objektov.</t>
  </si>
  <si>
    <t>Izvajalec ob začetku izvajanja storitve izvede izobraževanje naročnika za pregled podatkov, možnosti pregledovanja analiz in možnosti generiranja poročil. Naročnik lahko tudi določi, katere analize in poročila je izvajalec vsak mesec dolžan pošiljati določenim osebam naročnika.</t>
  </si>
  <si>
    <t>Izvajalec je dolžan 1x letno  naročniku predstaviti rezultate analiz, izdelanih na osnovi energetskega knjigovodstva ter učinkov ukrepov po tej pogodbi v pogodbeno dogovorjenih rokih.</t>
  </si>
  <si>
    <t>I.</t>
  </si>
  <si>
    <r>
      <rPr>
        <b/>
        <sz val="14"/>
        <color indexed="8"/>
        <rFont val="Times New Roman"/>
        <family val="1"/>
        <charset val="238"/>
      </rPr>
      <t xml:space="preserve"> </t>
    </r>
    <r>
      <rPr>
        <b/>
        <sz val="14"/>
        <color indexed="8"/>
        <rFont val="Bookman Old Style"/>
        <family val="1"/>
        <charset val="238"/>
      </rPr>
      <t>UKREPI ZAHTEVANI S STRANI KONCEDENTA ZA ZAGOTAVLJANJE PRIHRANKA</t>
    </r>
  </si>
  <si>
    <t>4. S svojimi ukrepi koncesionar ne sme znižati standarda (osvetlitve), ki je predpisan v standardu SIST EN 12464-1:2011 Če ti pogoji pred izvedbo ukrepov niso bili doseženi, je potrebno to upoštevati pri referenčnih količinah.</t>
  </si>
  <si>
    <t>5. Kjer standard v prostorih ni natančno popisan, mora koncesionar po podpisu pogodbe v prvi ogrevalni sezoni v prostorih popisati standarde (temperature, osvetlitve,...). Koncedent in koncesionar za vsak objekt določita točke merjenja udobja pred izvedbo ukrepov. Predmetne točke merjenja se uporabljajo tudi za ugotavljanje doseganja standardov udobja v času izvajanja glavne storitve.</t>
  </si>
  <si>
    <r>
      <t>6.</t>
    </r>
    <r>
      <rPr>
        <sz val="11"/>
        <color indexed="8"/>
        <rFont val="Times New Roman"/>
        <family val="1"/>
        <charset val="238"/>
      </rPr>
      <t xml:space="preserve"> K</t>
    </r>
    <r>
      <rPr>
        <sz val="11"/>
        <color indexed="8"/>
        <rFont val="Bookman Old Style"/>
        <family val="1"/>
        <charset val="238"/>
      </rPr>
      <t>oncesionar po podpisu pogodbe do začetka izvajanja glavne storitve zbrati in preveriti podatke iz razširjenih energetskih pregledov, ki so potrebni za ugotavljanje morebitnih sprememb uporabe objektov (število uporabnikov, urniki, porabniki energije).</t>
    </r>
  </si>
  <si>
    <t>7. Kjer so referenčne vrednosti rabe energije podane v energiji porabljenega goriva  in še ni uvedenih meritev, mora koncesionar do dogovorjenega roka po pogodbi (pripravljalna storitev) vgraditi merilne naprave.</t>
  </si>
  <si>
    <t>8. Koncesionar mora do začetka izvajanja glavne storitve vzpostaviti sistem energetskega upravljanja za vse objekte iz seznama stavb naročnika po zahtevah določenih v zavihku Energetsko upravljanje.</t>
  </si>
  <si>
    <t>1. Vsi pripravljalni ukrepi morajo biti izvedeni skladno z veljavnimi predpisi in standardi. Pri energetskih sanacijah objektov kulturne dediščine upoštevati Smernice za energetsko prenovo stavb kulturne dediščine in izdane kulturovarstvene pogoje pristojnega Zavoda za varstvo kulturne dediščine.  Vsa dela morajo biti izvedena skladno s pravili stroke.</t>
  </si>
  <si>
    <r>
      <t>9.</t>
    </r>
    <r>
      <rPr>
        <sz val="11"/>
        <color indexed="8"/>
        <rFont val="Times New Roman"/>
        <family val="1"/>
        <charset val="238"/>
      </rPr>
      <t xml:space="preserve"> </t>
    </r>
    <r>
      <rPr>
        <sz val="11"/>
        <color indexed="8"/>
        <rFont val="Bookman Old Style"/>
        <family val="1"/>
        <charset val="238"/>
      </rPr>
      <t>Koncesionar mora zagotoviti izobraževanje koncedenta, upravljavca in uporabnikov.</t>
    </r>
  </si>
  <si>
    <t xml:space="preserve">NETO SEDANJA VREDNOST PRIHRANKOV 
€ </t>
  </si>
  <si>
    <t>SKUPAJ STROŠKI UKREPOV
€</t>
  </si>
  <si>
    <t>Dokazno breme obstoja ekskulpacijskih razlogov za zgoraj navedene meje odgovornosti koncesionarja je na strani koncesionarja.</t>
  </si>
  <si>
    <t>referenčni dnevni temperaturni primanjkljaj Slovenske Konjice</t>
  </si>
  <si>
    <t>dnevni temperaturni primanjkljaj v obračunskem obdobju Slovenske Konjice</t>
  </si>
  <si>
    <t>± 2</t>
  </si>
  <si>
    <t>CENE ENERGENTOV OB MENJAVI</t>
  </si>
  <si>
    <t>STANDARD UDOBJA</t>
  </si>
  <si>
    <t>ENERGETSKO UPRAVLJANJE</t>
  </si>
  <si>
    <t>UKREPI - SPLOŠNE ZAHTEVE</t>
  </si>
  <si>
    <t>OB10</t>
  </si>
  <si>
    <t>prilagoditev rabe toplote (npr. dvig udobja)
[kWh]</t>
  </si>
  <si>
    <t>Koncesionar ni odgovoren za nedoseganje predpisanih standardov udobja, v kolikor so odstopanja posledica ravnanja uporabnikov objekta, pod pogojem, da je koncesionar izvedel ustrezno izobraževanje.</t>
  </si>
  <si>
    <t>Telovadnica</t>
  </si>
  <si>
    <t>Športna dvorana</t>
  </si>
  <si>
    <t>V času TV prenosov osvetljenost ustreza zahtevanemu standardu.</t>
  </si>
  <si>
    <t>Zemeljski plin: OŠ Brežice</t>
  </si>
  <si>
    <t>Zemeljski plin: Zdravstveni dom Brežice</t>
  </si>
  <si>
    <t>Zemeljski plin: Mladinski center Brežice</t>
  </si>
  <si>
    <t>Zemeljski plin: OŠ Cerklje ob Krki</t>
  </si>
  <si>
    <t>Koncesionar je odgovoren za doseganje standardov udobja zgolj v obsegu, ki je objektivno in tehnično vezan na vrsto ukrepov, ki jih je v okviru izvajanja koncesije izvedel koncesionar. Ekskulpacija iz predhodnega stavka koncesionarja ne odvezuje odgovornosti za doseganje standarda udobja, ki so posledica neustrezne izbire, projektiranja ali izvedbe ukrepov, temveč se nanaša zgolj na obstoj vzročne zveze med ukrepom in zahtevanim standardom udobja, kot sledi iz nadaljevanja.</t>
  </si>
  <si>
    <t>OŠ DOBOVA</t>
  </si>
  <si>
    <t>Kapelska cesta 25, Dobova</t>
  </si>
  <si>
    <t>Šola</t>
  </si>
  <si>
    <t>ŠD Dobova</t>
  </si>
  <si>
    <t>OŠ GLOBOKO</t>
  </si>
  <si>
    <t>Globoko 9, Globoko</t>
  </si>
  <si>
    <t>OŠ PIŠECE</t>
  </si>
  <si>
    <t>Pišece 34, Pišece</t>
  </si>
  <si>
    <t>STADION BREŽICE</t>
  </si>
  <si>
    <t>Cesta bratov Milavcev 18, Brežice</t>
  </si>
  <si>
    <t>Športni objekt</t>
  </si>
  <si>
    <t>GLASBENA ŠOLA BREŽICE</t>
  </si>
  <si>
    <t>Cesta prvih borcev 5, Brežice</t>
  </si>
  <si>
    <t>KNJIŽNICA BREŽICE</t>
  </si>
  <si>
    <t>Trg Jožeta Toporišiča 1, 8250 Brežice</t>
  </si>
  <si>
    <t>Knjižnica</t>
  </si>
  <si>
    <t>OŠ BIZELJSKO</t>
  </si>
  <si>
    <t>Bizeljska cesta 78, Bizeljsko</t>
  </si>
  <si>
    <t>OŠ KAPELE</t>
  </si>
  <si>
    <t>Kapele 4a, Kapele</t>
  </si>
  <si>
    <t>OŠ ARTIČE-samo telovadnica</t>
  </si>
  <si>
    <t>Artiče 39, 8253 Artiče</t>
  </si>
  <si>
    <t>OŠ BREŽICE</t>
  </si>
  <si>
    <t>Levstikova ulica 18, 8250 Brežice</t>
  </si>
  <si>
    <t>ZDRAVSTVENI DOM</t>
  </si>
  <si>
    <t>Černelčeva cesta 8, 8250 Brežice</t>
  </si>
  <si>
    <t>ZD</t>
  </si>
  <si>
    <t>MLADINSKI CENTER</t>
  </si>
  <si>
    <t>Gubčeva ulica 10a, 8250 Brežice</t>
  </si>
  <si>
    <t>Mladinski center</t>
  </si>
  <si>
    <t>VRTEC BREŽICE</t>
  </si>
  <si>
    <t>Šolska ulica 5, 8250 Brežice</t>
  </si>
  <si>
    <t>Vrtec</t>
  </si>
  <si>
    <t>OŠ CERKLJE OB KRKI</t>
  </si>
  <si>
    <t>Cerklje ob Krki 3, 8263 Cerklje ob Krki</t>
  </si>
  <si>
    <t>Športna dvorana BREŽICE</t>
  </si>
  <si>
    <t>Černelčeva cesta 10, 8250 Brežice</t>
  </si>
  <si>
    <t>ZP+EE (TČ)</t>
  </si>
  <si>
    <t>Energetsko upravljanje</t>
  </si>
  <si>
    <t>-</t>
  </si>
  <si>
    <t>Senacija razsvetljave</t>
  </si>
  <si>
    <t>Prenova ogrevalnega sistema TČ zrak/voda (32kW) + oljni kotel (27kW) - 80% pokrivanje</t>
  </si>
  <si>
    <t>Tehnološka posodobitev energetskega postrojenja za namene optimalnega delovanja</t>
  </si>
  <si>
    <t>Termostatski ventili</t>
  </si>
  <si>
    <t>Prenova prezračevalnega sistema za prezračevanje jedilnice</t>
  </si>
  <si>
    <t xml:space="preserve">Tehnološka posodobitev energetskega postrojenja za namene optimalnega delovanja </t>
  </si>
  <si>
    <t>Tehnološka posodobitev energetskega postrojenja za namene optimalnega delovanja - vgraditev opreme</t>
  </si>
  <si>
    <t>Sanacija razsvetljave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</si>
</sst>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5" formatCode="#,##0\ &quot;€&quot;;\-#,##0\ &quot;€&quot;"/>
    <numFmt numFmtId="44" formatCode="_-* #,##0.00\ &quot;€&quot;_-;\-* #,##0.00\ &quot;€&quot;_-;_-* &quot;-&quot;??\ &quot;€&quot;_-;_-@_-"/>
    <numFmt numFmtId="164" formatCode="_-* #,##0.00\ _€_-;\-* #,##0.00\ _€_-;_-* &quot;-&quot;??\ _€_-;_-@_-"/>
    <numFmt numFmtId="165" formatCode="#,##0.00\ &quot;€&quot;"/>
    <numFmt numFmtId="166" formatCode="#,##0.00000"/>
    <numFmt numFmtId="167" formatCode="_-* #,##0\ &quot;€&quot;_-;\-* #,##0\ &quot;€&quot;_-;_-* &quot;-&quot;??\ &quot;€&quot;_-;_-@_-"/>
    <numFmt numFmtId="168" formatCode="#,##0.00000\ _€"/>
    <numFmt numFmtId="169" formatCode="_-* #,##0.0000\ &quot;€&quot;_-;\-* #,##0.0000\ &quot;€&quot;_-;_-* &quot;-&quot;??\ &quot;€&quot;_-;_-@_-"/>
    <numFmt numFmtId="170" formatCode="_-* #,##0\ _€_-;\-* #,##0\ _€_-;_-* &quot;-&quot;??\ _€_-;_-@_-"/>
    <numFmt numFmtId="171" formatCode="_-* #,##0.000\ [$€-1]_-;\-* #,##0.000\ [$€-1]_-;_-* &quot;-&quot;??\ [$€-1]_-;_-@_-"/>
    <numFmt numFmtId="172" formatCode="_-* #,##0.000\ &quot;€&quot;_-;\-* #,##0.000\ &quot;€&quot;_-;_-* &quot;-&quot;??\ &quot;€&quot;_-;_-@_-"/>
    <numFmt numFmtId="173" formatCode="#,##0\ &quot;kWh&quot;_-"/>
    <numFmt numFmtId="174" formatCode="#,##0.00000\ &quot;€/kWh&quot;_-"/>
    <numFmt numFmtId="175" formatCode="#,##0\ &quot;kWh&quot;"/>
    <numFmt numFmtId="176" formatCode="#,##0.00000\ &quot;€/kWh&quot;"/>
    <numFmt numFmtId="177" formatCode="0.0%"/>
    <numFmt numFmtId="178" formatCode="#,##0.0000"/>
    <numFmt numFmtId="179" formatCode="0.0000"/>
    <numFmt numFmtId="180" formatCode="_-* #,##0.0\ &quot;€&quot;_-;\-* #,##0.0\ &quot;€&quot;_-;_-* &quot;-&quot;????\ &quot;€&quot;_-;_-@_-"/>
    <numFmt numFmtId="181" formatCode="#,##0.000"/>
    <numFmt numFmtId="182" formatCode="#,##0.0000\ &quot;€/kWh&quot;"/>
    <numFmt numFmtId="183" formatCode="_-* #,##0.0\ _€_-;\-* #,##0.0\ _€_-;_-* &quot;-&quot;??\ _€_-;_-@_-"/>
    <numFmt numFmtId="184" formatCode="0.0"/>
    <numFmt numFmtId="185" formatCode="_-* #,##0.00\ [$€-1]_-;\-* #,##0.00\ [$€-1]_-;_-* &quot;-&quot;??\ [$€-1]_-;_-@_-"/>
    <numFmt numFmtId="186" formatCode="_-* #,##0.00000\ &quot;€&quot;_-;\-* #,##0.00000\ &quot;€&quot;_-;_-* &quot;-&quot;??\ &quot;€&quot;_-;_-@_-"/>
    <numFmt numFmtId="187" formatCode="_(&quot;€&quot;* #,##0.00_);_(&quot;€&quot;* \(#,##0.00\);_(&quot;€&quot;* &quot;-&quot;??_);_(@_)"/>
    <numFmt numFmtId="188" formatCode="_-* #,##0.00000\ _€_-;\-* #,##0.00000\ _€_-;_-* &quot;-&quot;??\ _€_-;_-@_-"/>
  </numFmts>
  <fonts count="7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0"/>
      <color indexed="8"/>
      <name val="Bookman Old Style"/>
      <family val="1"/>
      <charset val="238"/>
    </font>
    <font>
      <b/>
      <sz val="10"/>
      <color indexed="8"/>
      <name val="Bookman Old Style"/>
      <family val="1"/>
      <charset val="238"/>
    </font>
    <font>
      <sz val="10"/>
      <name val="Arial"/>
      <family val="2"/>
      <charset val="238"/>
    </font>
    <font>
      <sz val="10"/>
      <name val="Bookman Old Style"/>
      <family val="1"/>
      <charset val="238"/>
    </font>
    <font>
      <b/>
      <sz val="10"/>
      <name val="Bookman Old Style"/>
      <family val="1"/>
      <charset val="238"/>
    </font>
    <font>
      <sz val="10"/>
      <color rgb="FFFF0000"/>
      <name val="Bookman Old Style"/>
      <family val="1"/>
      <charset val="238"/>
    </font>
    <font>
      <sz val="11"/>
      <color indexed="8"/>
      <name val="Calibri"/>
      <family val="2"/>
      <charset val="238"/>
    </font>
    <font>
      <b/>
      <sz val="10"/>
      <color rgb="FFFF0000"/>
      <name val="Bookman Old Style"/>
      <family val="1"/>
      <charset val="238"/>
    </font>
    <font>
      <b/>
      <sz val="11"/>
      <name val="Bookman Old Style"/>
      <family val="1"/>
      <charset val="238"/>
    </font>
    <font>
      <b/>
      <sz val="14"/>
      <color indexed="8"/>
      <name val="Bookman Old Style"/>
      <family val="1"/>
      <charset val="238"/>
    </font>
    <font>
      <sz val="10"/>
      <color theme="0"/>
      <name val="Bookman Old Style"/>
      <family val="1"/>
      <charset val="238"/>
    </font>
    <font>
      <sz val="11"/>
      <color indexed="8"/>
      <name val="Bookman Old Style"/>
      <family val="1"/>
      <charset val="238"/>
    </font>
    <font>
      <sz val="8"/>
      <name val="Bookman Old Style"/>
      <family val="1"/>
      <charset val="238"/>
    </font>
    <font>
      <b/>
      <sz val="8"/>
      <name val="Bookman Old Style"/>
      <family val="1"/>
      <charset val="238"/>
    </font>
    <font>
      <sz val="8"/>
      <color rgb="FFFF0000"/>
      <name val="Bookman Old Style"/>
      <family val="1"/>
      <charset val="238"/>
    </font>
    <font>
      <b/>
      <sz val="14"/>
      <color theme="1"/>
      <name val="Bookman Old Style"/>
      <family val="1"/>
      <charset val="238"/>
    </font>
    <font>
      <b/>
      <sz val="16"/>
      <color theme="1"/>
      <name val="Calibri"/>
      <family val="2"/>
      <charset val="238"/>
      <scheme val="minor"/>
    </font>
    <font>
      <b/>
      <sz val="20"/>
      <color theme="1"/>
      <name val="Calibri"/>
      <family val="2"/>
      <charset val="238"/>
      <scheme val="minor"/>
    </font>
    <font>
      <sz val="11"/>
      <color theme="1"/>
      <name val="Calibri"/>
      <family val="2"/>
      <scheme val="minor"/>
    </font>
    <font>
      <b/>
      <sz val="10"/>
      <name val="Arial"/>
      <family val="2"/>
      <charset val="238"/>
    </font>
    <font>
      <b/>
      <sz val="8"/>
      <name val="Arial"/>
      <family val="2"/>
      <charset val="238"/>
    </font>
    <font>
      <sz val="8"/>
      <name val="Arial"/>
      <family val="2"/>
      <charset val="238"/>
    </font>
    <font>
      <sz val="8"/>
      <name val="Arial"/>
      <family val="2"/>
    </font>
    <font>
      <i/>
      <u/>
      <sz val="10"/>
      <color indexed="8"/>
      <name val="Bookman Old Style"/>
      <family val="1"/>
      <charset val="238"/>
    </font>
    <font>
      <sz val="11"/>
      <color indexed="8"/>
      <name val="Arial"/>
      <family val="2"/>
      <charset val="238"/>
    </font>
    <font>
      <sz val="10"/>
      <color theme="9"/>
      <name val="Bookman Old Style"/>
      <family val="1"/>
      <charset val="238"/>
    </font>
    <font>
      <b/>
      <sz val="8"/>
      <color rgb="FFFF0000"/>
      <name val="Arial"/>
      <family val="2"/>
      <charset val="238"/>
    </font>
    <font>
      <b/>
      <sz val="11"/>
      <color rgb="FFFF0000"/>
      <name val="Calibri"/>
      <family val="2"/>
      <charset val="238"/>
      <scheme val="minor"/>
    </font>
    <font>
      <b/>
      <sz val="10"/>
      <color theme="3"/>
      <name val="Bookman Old Style"/>
      <family val="1"/>
      <charset val="238"/>
    </font>
    <font>
      <sz val="10"/>
      <color theme="1"/>
      <name val="Bookman Old Style"/>
      <family val="1"/>
      <charset val="238"/>
    </font>
    <font>
      <b/>
      <sz val="11"/>
      <color theme="1"/>
      <name val="Calibri"/>
      <family val="2"/>
      <charset val="238"/>
      <scheme val="minor"/>
    </font>
    <font>
      <sz val="10"/>
      <name val="Times New Roman"/>
      <family val="1"/>
      <charset val="238"/>
    </font>
    <font>
      <b/>
      <sz val="14"/>
      <color indexed="8"/>
      <name val="Times New Roman"/>
      <family val="1"/>
      <charset val="238"/>
    </font>
    <font>
      <sz val="8"/>
      <color theme="0" tint="-0.14999847407452621"/>
      <name val="Times New Roman"/>
      <family val="1"/>
      <charset val="238"/>
    </font>
    <font>
      <b/>
      <sz val="10"/>
      <name val="Times New Roman"/>
      <family val="1"/>
      <charset val="238"/>
    </font>
    <font>
      <b/>
      <sz val="10"/>
      <color indexed="8"/>
      <name val="Times New Roman"/>
      <family val="1"/>
      <charset val="238"/>
    </font>
    <font>
      <b/>
      <sz val="11"/>
      <name val="Times New Roman"/>
      <family val="1"/>
      <charset val="238"/>
    </font>
    <font>
      <sz val="10"/>
      <color theme="0" tint="-4.9989318521683403E-2"/>
      <name val="Times New Roman"/>
      <family val="1"/>
      <charset val="238"/>
    </font>
    <font>
      <sz val="9"/>
      <name val="Times New Roman"/>
      <family val="1"/>
      <charset val="238"/>
    </font>
    <font>
      <sz val="10"/>
      <color rgb="FFFF0000"/>
      <name val="Times New Roman"/>
      <family val="1"/>
      <charset val="238"/>
    </font>
    <font>
      <b/>
      <sz val="10"/>
      <color rgb="FFFF0000"/>
      <name val="Times New Roman"/>
      <family val="1"/>
      <charset val="238"/>
    </font>
    <font>
      <sz val="10"/>
      <color indexed="8"/>
      <name val="Times New Roman"/>
      <family val="1"/>
      <charset val="238"/>
    </font>
    <font>
      <sz val="10"/>
      <color theme="0" tint="-0.499984740745262"/>
      <name val="Bookman Old Style"/>
      <family val="1"/>
      <charset val="238"/>
    </font>
    <font>
      <b/>
      <sz val="10"/>
      <color theme="0" tint="-0.499984740745262"/>
      <name val="Bookman Old Style"/>
      <family val="1"/>
      <charset val="238"/>
    </font>
    <font>
      <sz val="8"/>
      <color theme="0" tint="-0.499984740745262"/>
      <name val="Bookman Old Style"/>
      <family val="1"/>
      <charset val="238"/>
    </font>
    <font>
      <b/>
      <sz val="14"/>
      <color rgb="FF000000"/>
      <name val="Times New Roman"/>
      <family val="1"/>
      <charset val="238"/>
    </font>
    <font>
      <b/>
      <sz val="18"/>
      <color theme="1"/>
      <name val="Bookman Old Style"/>
      <family val="1"/>
      <charset val="238"/>
    </font>
    <font>
      <sz val="11"/>
      <color theme="1"/>
      <name val="Bookman Old Style"/>
      <family val="1"/>
      <charset val="238"/>
    </font>
    <font>
      <b/>
      <sz val="11"/>
      <color theme="0"/>
      <name val="Bookman Old Style"/>
      <family val="1"/>
      <charset val="238"/>
    </font>
    <font>
      <b/>
      <vertAlign val="subscript"/>
      <sz val="11"/>
      <color theme="0"/>
      <name val="Bookman Old Style"/>
      <family val="1"/>
      <charset val="238"/>
    </font>
    <font>
      <b/>
      <vertAlign val="superscript"/>
      <sz val="11"/>
      <color theme="0"/>
      <name val="Bookman Old Style"/>
      <family val="1"/>
      <charset val="238"/>
    </font>
    <font>
      <b/>
      <sz val="11"/>
      <color theme="1"/>
      <name val="Bookman Old Style"/>
      <family val="1"/>
      <charset val="238"/>
    </font>
    <font>
      <vertAlign val="subscript"/>
      <sz val="11"/>
      <color theme="1"/>
      <name val="Bookman Old Style"/>
      <family val="1"/>
      <charset val="238"/>
    </font>
    <font>
      <b/>
      <sz val="10"/>
      <color theme="0" tint="-0.34998626667073579"/>
      <name val="Calibri"/>
      <family val="2"/>
      <charset val="238"/>
      <scheme val="minor"/>
    </font>
    <font>
      <sz val="10"/>
      <color theme="0" tint="-0.34998626667073579"/>
      <name val="Calibri"/>
      <family val="2"/>
      <charset val="238"/>
      <scheme val="minor"/>
    </font>
    <font>
      <sz val="10"/>
      <color rgb="FFFF0000"/>
      <name val="Arial"/>
      <family val="2"/>
      <charset val="238"/>
    </font>
    <font>
      <sz val="11"/>
      <color rgb="FFFF0000"/>
      <name val="Calibri"/>
      <family val="2"/>
      <scheme val="minor"/>
    </font>
    <font>
      <sz val="10"/>
      <color theme="1"/>
      <name val="Calibri"/>
      <family val="2"/>
      <scheme val="minor"/>
    </font>
    <font>
      <sz val="11"/>
      <color theme="1"/>
      <name val="Times New Roman"/>
      <family val="1"/>
      <charset val="238"/>
    </font>
    <font>
      <b/>
      <sz val="14"/>
      <color theme="1"/>
      <name val="Times New Roman"/>
      <family val="1"/>
      <charset val="238"/>
    </font>
    <font>
      <b/>
      <sz val="12"/>
      <color theme="1"/>
      <name val="Times New Roman"/>
      <family val="1"/>
      <charset val="238"/>
    </font>
    <font>
      <sz val="12"/>
      <color theme="1"/>
      <name val="Times New Roman"/>
      <family val="1"/>
      <charset val="238"/>
    </font>
    <font>
      <b/>
      <sz val="18"/>
      <name val="Times New Roman"/>
      <family val="1"/>
      <charset val="238"/>
    </font>
    <font>
      <i/>
      <sz val="16"/>
      <name val="Times New Roman"/>
      <family val="1"/>
      <charset val="238"/>
    </font>
    <font>
      <b/>
      <sz val="11"/>
      <color indexed="8"/>
      <name val="Bookman Old Style"/>
      <family val="1"/>
      <charset val="238"/>
    </font>
    <font>
      <sz val="11"/>
      <name val="Bookman Old Style"/>
      <family val="1"/>
      <charset val="238"/>
    </font>
    <font>
      <sz val="11"/>
      <color indexed="8"/>
      <name val="Times New Roman"/>
      <family val="1"/>
      <charset val="238"/>
    </font>
    <font>
      <sz val="10"/>
      <color theme="1"/>
      <name val="Arial"/>
      <family val="2"/>
      <charset val="238"/>
    </font>
    <font>
      <sz val="8"/>
      <color theme="1"/>
      <name val="Arial"/>
      <family val="2"/>
      <charset val="238"/>
    </font>
    <font>
      <b/>
      <sz val="11"/>
      <color theme="1"/>
      <name val="Bookman Old Style"/>
      <family val="1"/>
      <charset val="238"/>
    </font>
    <font>
      <sz val="11"/>
      <color theme="1"/>
      <name val="Bookman Old Style"/>
      <family val="1"/>
      <charset val="238"/>
    </font>
  </fonts>
  <fills count="33">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C0C0C0"/>
        <bgColor rgb="FF000000"/>
      </patternFill>
    </fill>
    <fill>
      <patternFill patternType="solid">
        <fgColor rgb="FFFFFF00"/>
        <bgColor indexed="64"/>
      </patternFill>
    </fill>
    <fill>
      <patternFill patternType="solid">
        <fgColor indexed="26"/>
        <bgColor indexed="64"/>
      </patternFill>
    </fill>
    <fill>
      <patternFill patternType="solid">
        <fgColor theme="0"/>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8D8D8"/>
        <bgColor rgb="FF000000"/>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249977111117893"/>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59999389629810485"/>
        <bgColor rgb="FF000000"/>
      </patternFill>
    </fill>
    <fill>
      <patternFill patternType="solid">
        <fgColor theme="9" tint="0.59999389629810485"/>
        <bgColor rgb="FF000000"/>
      </patternFill>
    </fill>
    <fill>
      <patternFill patternType="solid">
        <fgColor rgb="FF92D05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59999389629810485"/>
        <bgColor rgb="FF000000"/>
      </patternFill>
    </fill>
    <fill>
      <patternFill patternType="solid">
        <fgColor rgb="FFD9D9D9"/>
        <bgColor indexed="64"/>
      </patternFill>
    </fill>
    <fill>
      <patternFill patternType="solid">
        <fgColor rgb="FFD8D8D8"/>
        <bgColor indexed="64"/>
      </patternFill>
    </fill>
    <fill>
      <patternFill patternType="solid">
        <fgColor rgb="FFFFFFFF"/>
        <bgColor indexed="64"/>
      </patternFill>
    </fill>
    <fill>
      <patternFill patternType="solid">
        <fgColor theme="4" tint="0.7999816888943144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indexed="64"/>
      </right>
      <top style="medium">
        <color indexed="64"/>
      </top>
      <bottom style="thin">
        <color indexed="64"/>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bottom style="double">
        <color indexed="64"/>
      </bottom>
      <diagonal/>
    </border>
    <border>
      <left style="medium">
        <color indexed="64"/>
      </left>
      <right/>
      <top/>
      <bottom style="double">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
        <color auto="1"/>
      </left>
      <right style="medium">
        <color auto="1"/>
      </right>
      <top/>
      <bottom style="medium">
        <color indexed="64"/>
      </bottom>
      <diagonal/>
    </border>
    <border>
      <left style="thin">
        <color auto="1"/>
      </left>
      <right/>
      <top style="thin">
        <color auto="1"/>
      </top>
      <bottom style="medium">
        <color auto="1"/>
      </bottom>
      <diagonal/>
    </border>
  </borders>
  <cellStyleXfs count="25">
    <xf numFmtId="0" fontId="0" fillId="0" borderId="0"/>
    <xf numFmtId="0" fontId="5" fillId="0" borderId="0"/>
    <xf numFmtId="0" fontId="8" fillId="0" borderId="0"/>
    <xf numFmtId="44" fontId="8" fillId="0" borderId="0" applyFont="0" applyFill="0" applyBorder="0" applyAlignment="0" applyProtection="0"/>
    <xf numFmtId="9" fontId="12"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8" fillId="0" borderId="0"/>
    <xf numFmtId="164" fontId="24" fillId="0" borderId="0" applyFont="0" applyFill="0" applyBorder="0" applyAlignment="0" applyProtection="0"/>
    <xf numFmtId="44" fontId="24" fillId="0" borderId="0" applyFont="0" applyFill="0" applyBorder="0" applyAlignment="0" applyProtection="0"/>
    <xf numFmtId="0" fontId="8" fillId="0" borderId="0"/>
    <xf numFmtId="44"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0" fontId="24" fillId="0" borderId="0"/>
    <xf numFmtId="9" fontId="24" fillId="0" borderId="0" applyFont="0" applyFill="0" applyBorder="0" applyAlignment="0" applyProtection="0"/>
    <xf numFmtId="0" fontId="8" fillId="0" borderId="0"/>
    <xf numFmtId="164" fontId="8" fillId="0" borderId="0" applyFont="0" applyFill="0" applyBorder="0" applyAlignment="0" applyProtection="0"/>
    <xf numFmtId="187" fontId="8" fillId="0" borderId="0" applyFont="0" applyFill="0" applyBorder="0" applyAlignment="0" applyProtection="0"/>
    <xf numFmtId="0" fontId="24" fillId="0" borderId="0"/>
  </cellStyleXfs>
  <cellXfs count="846">
    <xf numFmtId="0" fontId="0" fillId="0" borderId="0" xfId="0"/>
    <xf numFmtId="0" fontId="5" fillId="0" borderId="0" xfId="1"/>
    <xf numFmtId="0" fontId="6" fillId="0" borderId="0" xfId="1" applyFont="1" applyAlignment="1">
      <alignment horizontal="justify" vertical="center"/>
    </xf>
    <xf numFmtId="0" fontId="7" fillId="0" borderId="0" xfId="1" applyFont="1" applyAlignment="1">
      <alignment horizontal="justify" vertical="center"/>
    </xf>
    <xf numFmtId="0" fontId="9" fillId="0" borderId="0" xfId="2" applyFont="1" applyProtection="1">
      <protection hidden="1"/>
    </xf>
    <xf numFmtId="9" fontId="9" fillId="2" borderId="1" xfId="2" applyNumberFormat="1" applyFont="1" applyFill="1" applyBorder="1" applyAlignment="1" applyProtection="1">
      <alignment horizontal="center"/>
      <protection hidden="1"/>
    </xf>
    <xf numFmtId="0" fontId="9" fillId="2" borderId="1" xfId="2" applyFont="1" applyFill="1" applyBorder="1" applyAlignment="1" applyProtection="1">
      <alignment horizontal="center"/>
      <protection hidden="1"/>
    </xf>
    <xf numFmtId="44" fontId="10" fillId="2" borderId="1" xfId="3" applyFont="1" applyFill="1" applyBorder="1" applyProtection="1">
      <protection hidden="1"/>
    </xf>
    <xf numFmtId="44" fontId="6" fillId="0" borderId="1" xfId="3" applyFont="1" applyBorder="1" applyProtection="1">
      <protection hidden="1"/>
    </xf>
    <xf numFmtId="165" fontId="6" fillId="0" borderId="1" xfId="3" applyNumberFormat="1" applyFont="1" applyBorder="1" applyProtection="1">
      <protection hidden="1"/>
    </xf>
    <xf numFmtId="0" fontId="9" fillId="0" borderId="1" xfId="2" applyFont="1" applyBorder="1" applyAlignment="1" applyProtection="1">
      <alignment horizontal="center"/>
      <protection hidden="1"/>
    </xf>
    <xf numFmtId="0" fontId="11" fillId="0" borderId="0" xfId="2" applyFont="1" applyProtection="1">
      <protection hidden="1"/>
    </xf>
    <xf numFmtId="44" fontId="9" fillId="0" borderId="1" xfId="3" applyFont="1" applyBorder="1" applyAlignment="1" applyProtection="1">
      <alignment horizontal="right"/>
      <protection hidden="1"/>
    </xf>
    <xf numFmtId="9" fontId="9" fillId="0" borderId="1" xfId="4" applyFont="1" applyBorder="1" applyAlignment="1" applyProtection="1">
      <alignment horizontal="right"/>
      <protection hidden="1"/>
    </xf>
    <xf numFmtId="3" fontId="9" fillId="0" borderId="1" xfId="2" applyNumberFormat="1" applyFont="1" applyBorder="1" applyAlignment="1" applyProtection="1">
      <alignment horizontal="right"/>
      <protection hidden="1"/>
    </xf>
    <xf numFmtId="3" fontId="13" fillId="3" borderId="1" xfId="2" applyNumberFormat="1" applyFont="1" applyFill="1" applyBorder="1" applyAlignment="1" applyProtection="1">
      <alignment horizontal="right"/>
      <protection locked="0"/>
    </xf>
    <xf numFmtId="10" fontId="9" fillId="0" borderId="1" xfId="3" applyNumberFormat="1" applyFont="1" applyBorder="1" applyAlignment="1" applyProtection="1">
      <alignment horizontal="right"/>
      <protection hidden="1"/>
    </xf>
    <xf numFmtId="165" fontId="9" fillId="0" borderId="1" xfId="4" applyNumberFormat="1" applyFont="1" applyBorder="1" applyAlignment="1" applyProtection="1">
      <alignment horizontal="right"/>
      <protection hidden="1"/>
    </xf>
    <xf numFmtId="3" fontId="9" fillId="0" borderId="0" xfId="2" applyNumberFormat="1" applyFont="1" applyProtection="1">
      <protection hidden="1"/>
    </xf>
    <xf numFmtId="165" fontId="9" fillId="0" borderId="1" xfId="2" applyNumberFormat="1" applyFont="1" applyBorder="1" applyAlignment="1" applyProtection="1">
      <alignment horizontal="right"/>
      <protection hidden="1"/>
    </xf>
    <xf numFmtId="44" fontId="11" fillId="0" borderId="0" xfId="3" applyFont="1" applyBorder="1" applyAlignment="1" applyProtection="1">
      <alignment horizontal="left"/>
      <protection hidden="1"/>
    </xf>
    <xf numFmtId="0" fontId="9" fillId="0" borderId="0" xfId="2" applyFont="1" applyFill="1" applyBorder="1" applyAlignment="1" applyProtection="1">
      <alignment horizontal="left"/>
      <protection hidden="1"/>
    </xf>
    <xf numFmtId="167" fontId="9" fillId="0" borderId="1" xfId="3" applyNumberFormat="1" applyFont="1" applyBorder="1" applyAlignment="1" applyProtection="1">
      <alignment horizontal="right"/>
      <protection hidden="1"/>
    </xf>
    <xf numFmtId="167" fontId="13" fillId="3" borderId="1" xfId="3" applyNumberFormat="1" applyFont="1" applyFill="1" applyBorder="1" applyAlignment="1" applyProtection="1">
      <alignment horizontal="left"/>
      <protection locked="0"/>
    </xf>
    <xf numFmtId="165" fontId="9" fillId="0" borderId="0" xfId="2" applyNumberFormat="1" applyFont="1" applyProtection="1">
      <protection hidden="1"/>
    </xf>
    <xf numFmtId="165" fontId="9" fillId="0" borderId="1" xfId="3" applyNumberFormat="1" applyFont="1" applyBorder="1" applyAlignment="1" applyProtection="1">
      <alignment horizontal="center"/>
      <protection hidden="1"/>
    </xf>
    <xf numFmtId="0" fontId="9" fillId="2" borderId="1" xfId="2" applyFont="1" applyFill="1" applyBorder="1" applyProtection="1">
      <protection hidden="1"/>
    </xf>
    <xf numFmtId="168" fontId="9" fillId="0" borderId="0" xfId="2" applyNumberFormat="1" applyFont="1" applyProtection="1">
      <protection hidden="1"/>
    </xf>
    <xf numFmtId="0" fontId="9" fillId="2" borderId="5" xfId="2" applyFont="1" applyFill="1" applyBorder="1" applyAlignment="1" applyProtection="1">
      <protection hidden="1"/>
    </xf>
    <xf numFmtId="0" fontId="9" fillId="7" borderId="0" xfId="2" applyFont="1" applyFill="1" applyProtection="1">
      <protection hidden="1"/>
    </xf>
    <xf numFmtId="0" fontId="16" fillId="7" borderId="0" xfId="2" applyFont="1" applyFill="1" applyProtection="1">
      <protection hidden="1"/>
    </xf>
    <xf numFmtId="0" fontId="9" fillId="7" borderId="0" xfId="2" applyFont="1" applyFill="1" applyAlignment="1" applyProtection="1">
      <alignment horizontal="center"/>
      <protection hidden="1"/>
    </xf>
    <xf numFmtId="44" fontId="10" fillId="8" borderId="1" xfId="3" applyFont="1" applyFill="1" applyBorder="1" applyProtection="1">
      <protection hidden="1"/>
    </xf>
    <xf numFmtId="9" fontId="10" fillId="8" borderId="1" xfId="4" applyFont="1" applyFill="1" applyBorder="1" applyProtection="1">
      <protection hidden="1"/>
    </xf>
    <xf numFmtId="3" fontId="10" fillId="8" borderId="1" xfId="2" applyNumberFormat="1" applyFont="1" applyFill="1" applyBorder="1" applyProtection="1">
      <protection hidden="1"/>
    </xf>
    <xf numFmtId="10" fontId="10" fillId="8" borderId="1" xfId="3" applyNumberFormat="1" applyFont="1" applyFill="1" applyBorder="1" applyProtection="1">
      <protection hidden="1"/>
    </xf>
    <xf numFmtId="44" fontId="9" fillId="0" borderId="1" xfId="2" applyNumberFormat="1" applyFont="1" applyBorder="1" applyProtection="1">
      <protection hidden="1"/>
    </xf>
    <xf numFmtId="10" fontId="9" fillId="0" borderId="1" xfId="2" applyNumberFormat="1" applyFont="1" applyBorder="1" applyProtection="1">
      <protection hidden="1"/>
    </xf>
    <xf numFmtId="3" fontId="9" fillId="0" borderId="1" xfId="2" applyNumberFormat="1" applyFont="1" applyBorder="1" applyProtection="1">
      <protection hidden="1"/>
    </xf>
    <xf numFmtId="10" fontId="17" fillId="0" borderId="1" xfId="3" applyNumberFormat="1" applyFont="1" applyBorder="1" applyProtection="1">
      <protection hidden="1"/>
    </xf>
    <xf numFmtId="0" fontId="18" fillId="2" borderId="1" xfId="2" applyFont="1" applyFill="1" applyBorder="1" applyAlignment="1" applyProtection="1">
      <alignment horizontal="center"/>
      <protection hidden="1"/>
    </xf>
    <xf numFmtId="0" fontId="9" fillId="7" borderId="0" xfId="2" applyFont="1" applyFill="1" applyAlignment="1" applyProtection="1">
      <alignment wrapText="1"/>
      <protection hidden="1"/>
    </xf>
    <xf numFmtId="0" fontId="16" fillId="7" borderId="0" xfId="2" applyFont="1" applyFill="1" applyAlignment="1" applyProtection="1">
      <alignment wrapText="1"/>
      <protection hidden="1"/>
    </xf>
    <xf numFmtId="0" fontId="19" fillId="8" borderId="1" xfId="2" applyFont="1" applyFill="1" applyBorder="1" applyAlignment="1" applyProtection="1">
      <alignment horizontal="center" vertical="center" wrapText="1"/>
      <protection hidden="1"/>
    </xf>
    <xf numFmtId="0" fontId="19" fillId="2" borderId="5" xfId="2" applyFont="1" applyFill="1" applyBorder="1" applyAlignment="1" applyProtection="1">
      <alignment horizontal="center" vertical="center" wrapText="1"/>
      <protection hidden="1"/>
    </xf>
    <xf numFmtId="0" fontId="19" fillId="2" borderId="1" xfId="2" applyFont="1" applyFill="1" applyBorder="1" applyAlignment="1" applyProtection="1">
      <alignment horizontal="center" vertical="center" wrapText="1"/>
      <protection hidden="1"/>
    </xf>
    <xf numFmtId="0" fontId="16" fillId="7" borderId="0" xfId="2" applyFont="1" applyFill="1" applyAlignment="1" applyProtection="1">
      <alignment horizontal="center"/>
      <protection hidden="1"/>
    </xf>
    <xf numFmtId="0" fontId="25" fillId="2" borderId="1" xfId="2" applyFont="1" applyFill="1" applyBorder="1" applyAlignment="1">
      <alignment horizontal="center" vertical="center"/>
    </xf>
    <xf numFmtId="0" fontId="26" fillId="2" borderId="1" xfId="2" applyFont="1" applyFill="1" applyBorder="1" applyAlignment="1">
      <alignment horizontal="center" vertical="center" wrapText="1"/>
    </xf>
    <xf numFmtId="0" fontId="26" fillId="2" borderId="1" xfId="2" applyFont="1" applyFill="1" applyBorder="1" applyAlignment="1">
      <alignment horizontal="left" wrapText="1"/>
    </xf>
    <xf numFmtId="0" fontId="27" fillId="19" borderId="1" xfId="2" applyFont="1" applyFill="1" applyBorder="1" applyAlignment="1">
      <alignment horizontal="center" vertical="center"/>
    </xf>
    <xf numFmtId="0" fontId="28" fillId="19" borderId="1" xfId="2" applyFont="1" applyFill="1" applyBorder="1"/>
    <xf numFmtId="0" fontId="28" fillId="19" borderId="1" xfId="2" applyFont="1" applyFill="1" applyBorder="1" applyAlignment="1">
      <alignment horizontal="left"/>
    </xf>
    <xf numFmtId="164" fontId="28" fillId="19" borderId="1" xfId="9" applyFont="1" applyFill="1" applyBorder="1" applyAlignment="1">
      <alignment horizontal="center" vertical="center"/>
    </xf>
    <xf numFmtId="0" fontId="28" fillId="19" borderId="1" xfId="9" applyNumberFormat="1" applyFont="1" applyFill="1" applyBorder="1" applyAlignment="1">
      <alignment horizontal="center" vertical="center"/>
    </xf>
    <xf numFmtId="164" fontId="28" fillId="17" borderId="1" xfId="9" applyFont="1" applyFill="1" applyBorder="1" applyAlignment="1">
      <alignment horizontal="center" vertical="center"/>
    </xf>
    <xf numFmtId="164" fontId="27" fillId="17" borderId="1" xfId="9" applyFont="1" applyFill="1" applyBorder="1" applyAlignment="1">
      <alignment horizontal="center" vertical="center"/>
    </xf>
    <xf numFmtId="0" fontId="8" fillId="0" borderId="0" xfId="2" applyAlignment="1">
      <alignment horizontal="center" vertical="center"/>
    </xf>
    <xf numFmtId="0" fontId="15" fillId="0" borderId="0" xfId="1" applyFont="1" applyAlignment="1">
      <alignment horizontal="justify" vertical="center"/>
    </xf>
    <xf numFmtId="170" fontId="28" fillId="19" borderId="1" xfId="9" applyNumberFormat="1" applyFont="1" applyFill="1" applyBorder="1" applyAlignment="1">
      <alignment horizontal="center" vertical="center"/>
    </xf>
    <xf numFmtId="170" fontId="28" fillId="17" borderId="1" xfId="9" applyNumberFormat="1" applyFont="1" applyFill="1" applyBorder="1" applyAlignment="1">
      <alignment horizontal="center" vertical="center"/>
    </xf>
    <xf numFmtId="0" fontId="19" fillId="8" borderId="1" xfId="2" applyFont="1" applyFill="1" applyBorder="1" applyAlignment="1" applyProtection="1">
      <alignment horizontal="center" vertical="center" wrapText="1"/>
      <protection hidden="1"/>
    </xf>
    <xf numFmtId="44" fontId="26" fillId="18" borderId="1" xfId="10" applyFont="1" applyFill="1" applyBorder="1" applyAlignment="1">
      <alignment horizontal="center" vertical="center"/>
    </xf>
    <xf numFmtId="0" fontId="10" fillId="2" borderId="1" xfId="2" applyFont="1" applyFill="1" applyBorder="1" applyAlignment="1" applyProtection="1">
      <alignment horizontal="center"/>
      <protection hidden="1"/>
    </xf>
    <xf numFmtId="0" fontId="9" fillId="2" borderId="1" xfId="2" applyFont="1" applyFill="1" applyBorder="1" applyAlignment="1" applyProtection="1">
      <alignment wrapText="1"/>
      <protection hidden="1"/>
    </xf>
    <xf numFmtId="166" fontId="13" fillId="0" borderId="1" xfId="2" applyNumberFormat="1" applyFont="1" applyFill="1" applyBorder="1" applyAlignment="1" applyProtection="1">
      <alignment horizontal="right"/>
      <protection locked="0"/>
    </xf>
    <xf numFmtId="10" fontId="10" fillId="8" borderId="1" xfId="4" applyNumberFormat="1" applyFont="1" applyFill="1" applyBorder="1" applyProtection="1">
      <protection hidden="1"/>
    </xf>
    <xf numFmtId="173" fontId="9" fillId="0" borderId="1" xfId="2" applyNumberFormat="1" applyFont="1" applyBorder="1" applyAlignment="1" applyProtection="1">
      <alignment horizontal="center"/>
      <protection hidden="1"/>
    </xf>
    <xf numFmtId="174" fontId="9" fillId="0" borderId="1" xfId="2" applyNumberFormat="1" applyFont="1" applyBorder="1" applyAlignment="1" applyProtection="1">
      <alignment horizontal="center"/>
      <protection hidden="1"/>
    </xf>
    <xf numFmtId="0" fontId="9" fillId="0" borderId="0" xfId="2" applyFont="1" applyAlignment="1" applyProtection="1">
      <alignment horizontal="left"/>
      <protection hidden="1"/>
    </xf>
    <xf numFmtId="165" fontId="10" fillId="0" borderId="46" xfId="3" applyNumberFormat="1" applyFont="1" applyBorder="1" applyAlignment="1" applyProtection="1">
      <alignment horizontal="right"/>
      <protection hidden="1"/>
    </xf>
    <xf numFmtId="44" fontId="10" fillId="0" borderId="47" xfId="3" applyFont="1" applyBorder="1" applyAlignment="1" applyProtection="1">
      <alignment horizontal="center"/>
      <protection hidden="1"/>
    </xf>
    <xf numFmtId="0" fontId="6" fillId="0" borderId="0" xfId="1" applyFont="1" applyAlignment="1">
      <alignment horizontal="left" vertical="center" indent="2"/>
    </xf>
    <xf numFmtId="0" fontId="29" fillId="0" borderId="0" xfId="1" applyFont="1" applyAlignment="1">
      <alignment horizontal="justify" vertical="center"/>
    </xf>
    <xf numFmtId="0" fontId="17" fillId="0" borderId="0" xfId="1" applyFont="1"/>
    <xf numFmtId="164" fontId="28" fillId="19" borderId="1" xfId="9" applyFont="1" applyFill="1" applyBorder="1" applyAlignment="1">
      <alignment vertical="center" wrapText="1"/>
    </xf>
    <xf numFmtId="0" fontId="28" fillId="19" borderId="1" xfId="9" applyNumberFormat="1" applyFont="1" applyFill="1" applyBorder="1" applyAlignment="1">
      <alignment horizontal="center" vertical="center" wrapText="1"/>
    </xf>
    <xf numFmtId="0" fontId="31" fillId="0" borderId="0" xfId="1" applyFont="1" applyAlignment="1">
      <alignment horizontal="left" vertical="center" indent="2"/>
    </xf>
    <xf numFmtId="170" fontId="28" fillId="19" borderId="1" xfId="9" applyNumberFormat="1" applyFont="1" applyFill="1" applyBorder="1" applyAlignment="1">
      <alignment horizontal="center" vertical="center" wrapText="1"/>
    </xf>
    <xf numFmtId="0" fontId="9" fillId="0" borderId="0" xfId="1" applyFont="1" applyAlignment="1">
      <alignment horizontal="left" vertical="center" indent="2"/>
    </xf>
    <xf numFmtId="44" fontId="32" fillId="18" borderId="1" xfId="10" applyFont="1" applyFill="1" applyBorder="1" applyAlignment="1">
      <alignment horizontal="center" vertical="center"/>
    </xf>
    <xf numFmtId="0" fontId="33" fillId="0" borderId="0" xfId="0" applyFont="1"/>
    <xf numFmtId="9" fontId="27" fillId="17" borderId="1" xfId="9" applyNumberFormat="1" applyFont="1" applyFill="1" applyBorder="1" applyAlignment="1">
      <alignment horizontal="center" vertical="center"/>
    </xf>
    <xf numFmtId="0" fontId="9" fillId="0" borderId="0" xfId="1" applyFont="1" applyAlignment="1">
      <alignment horizontal="left" vertical="center"/>
    </xf>
    <xf numFmtId="0" fontId="37" fillId="2" borderId="48" xfId="2" applyFont="1" applyFill="1" applyBorder="1" applyAlignment="1" applyProtection="1">
      <alignment wrapText="1" shrinkToFit="1"/>
      <protection hidden="1"/>
    </xf>
    <xf numFmtId="0" fontId="37" fillId="2" borderId="27" xfId="2" applyFont="1" applyFill="1" applyBorder="1" applyAlignment="1" applyProtection="1">
      <alignment wrapText="1" shrinkToFit="1"/>
      <protection hidden="1"/>
    </xf>
    <xf numFmtId="0" fontId="37" fillId="2" borderId="49" xfId="2" applyFont="1" applyFill="1" applyBorder="1" applyAlignment="1" applyProtection="1">
      <alignment wrapText="1" shrinkToFit="1"/>
      <protection hidden="1"/>
    </xf>
    <xf numFmtId="0" fontId="37" fillId="19" borderId="44" xfId="2" applyFont="1" applyFill="1" applyBorder="1" applyAlignment="1" applyProtection="1">
      <alignment horizontal="center" wrapText="1" shrinkToFit="1"/>
      <protection hidden="1"/>
    </xf>
    <xf numFmtId="0" fontId="37" fillId="2" borderId="49" xfId="2" quotePrefix="1" applyFont="1" applyFill="1" applyBorder="1" applyAlignment="1" applyProtection="1">
      <alignment shrinkToFit="1"/>
      <protection hidden="1"/>
    </xf>
    <xf numFmtId="0" fontId="37" fillId="2" borderId="49" xfId="2" applyFont="1" applyFill="1" applyBorder="1" applyAlignment="1" applyProtection="1">
      <alignment shrinkToFit="1"/>
      <protection hidden="1"/>
    </xf>
    <xf numFmtId="0" fontId="37" fillId="2" borderId="50" xfId="2" applyFont="1" applyFill="1" applyBorder="1" applyAlignment="1" applyProtection="1">
      <alignment shrinkToFit="1"/>
      <protection hidden="1"/>
    </xf>
    <xf numFmtId="0" fontId="37" fillId="0" borderId="0" xfId="2" applyFont="1" applyProtection="1">
      <protection hidden="1"/>
    </xf>
    <xf numFmtId="0" fontId="39" fillId="0" borderId="0" xfId="2" applyFont="1" applyAlignment="1" applyProtection="1">
      <alignment horizontal="right"/>
      <protection hidden="1"/>
    </xf>
    <xf numFmtId="0" fontId="40" fillId="0" borderId="0" xfId="2" applyFont="1" applyBorder="1" applyAlignment="1" applyProtection="1">
      <protection hidden="1"/>
    </xf>
    <xf numFmtId="0" fontId="37" fillId="2" borderId="49" xfId="2" applyFont="1" applyFill="1" applyBorder="1" applyAlignment="1" applyProtection="1">
      <protection hidden="1"/>
    </xf>
    <xf numFmtId="3" fontId="37" fillId="0" borderId="0" xfId="2" applyNumberFormat="1" applyFont="1" applyProtection="1">
      <protection hidden="1"/>
    </xf>
    <xf numFmtId="0" fontId="37" fillId="2" borderId="50" xfId="2" applyFont="1" applyFill="1" applyBorder="1" applyAlignment="1" applyProtection="1">
      <protection hidden="1"/>
    </xf>
    <xf numFmtId="0" fontId="37" fillId="2" borderId="53" xfId="2" applyFont="1" applyFill="1" applyBorder="1" applyProtection="1">
      <protection hidden="1"/>
    </xf>
    <xf numFmtId="0" fontId="37" fillId="19" borderId="54" xfId="2" applyFont="1" applyFill="1" applyBorder="1" applyAlignment="1" applyProtection="1">
      <alignment horizontal="center" wrapText="1" shrinkToFit="1"/>
      <protection hidden="1"/>
    </xf>
    <xf numFmtId="175" fontId="37" fillId="0" borderId="55" xfId="2" applyNumberFormat="1" applyFont="1" applyBorder="1" applyAlignment="1" applyProtection="1">
      <alignment horizontal="right"/>
      <protection hidden="1"/>
    </xf>
    <xf numFmtId="165" fontId="37" fillId="0" borderId="0" xfId="2" applyNumberFormat="1" applyFont="1" applyProtection="1">
      <protection hidden="1"/>
    </xf>
    <xf numFmtId="175" fontId="37" fillId="0" borderId="56" xfId="2" applyNumberFormat="1" applyFont="1" applyBorder="1" applyAlignment="1" applyProtection="1">
      <alignment horizontal="right"/>
      <protection hidden="1"/>
    </xf>
    <xf numFmtId="175" fontId="37" fillId="0" borderId="57" xfId="2" applyNumberFormat="1" applyFont="1" applyBorder="1" applyAlignment="1" applyProtection="1">
      <alignment horizontal="right"/>
      <protection hidden="1"/>
    </xf>
    <xf numFmtId="44" fontId="37" fillId="0" borderId="57" xfId="12" applyFont="1" applyBorder="1" applyAlignment="1" applyProtection="1">
      <alignment horizontal="right"/>
      <protection hidden="1"/>
    </xf>
    <xf numFmtId="0" fontId="37" fillId="2" borderId="58" xfId="2" applyFont="1" applyFill="1" applyBorder="1" applyAlignment="1" applyProtection="1">
      <alignment wrapText="1" shrinkToFit="1"/>
      <protection hidden="1"/>
    </xf>
    <xf numFmtId="176" fontId="37" fillId="0" borderId="28" xfId="12" applyNumberFormat="1" applyFont="1" applyBorder="1" applyAlignment="1" applyProtection="1">
      <alignment horizontal="right"/>
      <protection hidden="1"/>
    </xf>
    <xf numFmtId="44" fontId="37" fillId="0" borderId="56" xfId="10" applyFont="1" applyBorder="1" applyAlignment="1" applyProtection="1">
      <alignment horizontal="right"/>
      <protection hidden="1"/>
    </xf>
    <xf numFmtId="0" fontId="43" fillId="0" borderId="0" xfId="2" applyFont="1" applyAlignment="1" applyProtection="1">
      <alignment horizontal="center"/>
      <protection hidden="1"/>
    </xf>
    <xf numFmtId="0" fontId="45" fillId="0" borderId="0" xfId="2" applyFont="1" applyProtection="1">
      <protection hidden="1"/>
    </xf>
    <xf numFmtId="167" fontId="46" fillId="3" borderId="35" xfId="3" applyNumberFormat="1" applyFont="1" applyFill="1" applyBorder="1" applyAlignment="1" applyProtection="1">
      <alignment horizontal="left"/>
      <protection locked="0"/>
    </xf>
    <xf numFmtId="167" fontId="37" fillId="0" borderId="24" xfId="3" applyNumberFormat="1" applyFont="1" applyBorder="1" applyAlignment="1" applyProtection="1">
      <alignment horizontal="right"/>
      <protection hidden="1"/>
    </xf>
    <xf numFmtId="167" fontId="37" fillId="0" borderId="2" xfId="3" applyNumberFormat="1" applyFont="1" applyBorder="1" applyAlignment="1" applyProtection="1">
      <alignment horizontal="right"/>
      <protection hidden="1"/>
    </xf>
    <xf numFmtId="0" fontId="37" fillId="0" borderId="0" xfId="2" applyFont="1" applyFill="1" applyProtection="1">
      <protection hidden="1"/>
    </xf>
    <xf numFmtId="0" fontId="37" fillId="0" borderId="0" xfId="2" applyFont="1" applyFill="1" applyBorder="1" applyAlignment="1" applyProtection="1">
      <alignment horizontal="left"/>
      <protection hidden="1"/>
    </xf>
    <xf numFmtId="44" fontId="45" fillId="0" borderId="0" xfId="3" applyFont="1" applyBorder="1" applyAlignment="1" applyProtection="1">
      <alignment horizontal="left"/>
      <protection hidden="1"/>
    </xf>
    <xf numFmtId="175" fontId="46" fillId="5" borderId="32" xfId="2" applyNumberFormat="1" applyFont="1" applyFill="1" applyBorder="1" applyAlignment="1" applyProtection="1">
      <alignment horizontal="right"/>
      <protection hidden="1"/>
    </xf>
    <xf numFmtId="176" fontId="40" fillId="5" borderId="24" xfId="2" applyNumberFormat="1" applyFont="1" applyFill="1" applyBorder="1" applyAlignment="1" applyProtection="1">
      <alignment horizontal="right"/>
      <protection hidden="1"/>
    </xf>
    <xf numFmtId="175" fontId="37" fillId="0" borderId="24" xfId="2" applyNumberFormat="1" applyFont="1" applyBorder="1" applyAlignment="1" applyProtection="1">
      <alignment horizontal="right"/>
      <protection hidden="1"/>
    </xf>
    <xf numFmtId="5" fontId="37" fillId="0" borderId="0" xfId="2" applyNumberFormat="1" applyFont="1" applyProtection="1">
      <protection hidden="1"/>
    </xf>
    <xf numFmtId="165" fontId="37" fillId="0" borderId="24" xfId="2" applyNumberFormat="1" applyFont="1" applyBorder="1" applyAlignment="1" applyProtection="1">
      <alignment horizontal="right"/>
      <protection hidden="1"/>
    </xf>
    <xf numFmtId="165" fontId="40" fillId="0" borderId="24" xfId="2" applyNumberFormat="1" applyFont="1" applyBorder="1" applyAlignment="1" applyProtection="1">
      <alignment horizontal="right"/>
      <protection hidden="1"/>
    </xf>
    <xf numFmtId="10" fontId="37" fillId="0" borderId="24" xfId="13" applyNumberFormat="1" applyFont="1" applyBorder="1" applyAlignment="1" applyProtection="1">
      <alignment horizontal="right"/>
      <protection hidden="1"/>
    </xf>
    <xf numFmtId="0" fontId="37" fillId="0" borderId="61" xfId="2" applyFont="1" applyBorder="1" applyProtection="1">
      <protection hidden="1"/>
    </xf>
    <xf numFmtId="0" fontId="37" fillId="0" borderId="0" xfId="2" applyFont="1" applyBorder="1" applyProtection="1">
      <protection hidden="1"/>
    </xf>
    <xf numFmtId="0" fontId="45" fillId="0" borderId="60" xfId="2" applyFont="1" applyBorder="1" applyProtection="1">
      <protection hidden="1"/>
    </xf>
    <xf numFmtId="175" fontId="46" fillId="5" borderId="24" xfId="2" applyNumberFormat="1" applyFont="1" applyFill="1" applyBorder="1" applyAlignment="1" applyProtection="1">
      <alignment horizontal="right"/>
      <protection hidden="1"/>
    </xf>
    <xf numFmtId="165" fontId="46" fillId="5" borderId="24" xfId="2" applyNumberFormat="1" applyFont="1" applyFill="1" applyBorder="1" applyAlignment="1" applyProtection="1">
      <alignment horizontal="right"/>
      <protection hidden="1"/>
    </xf>
    <xf numFmtId="165" fontId="40" fillId="0" borderId="3" xfId="3" applyNumberFormat="1" applyFont="1" applyBorder="1" applyAlignment="1" applyProtection="1">
      <alignment horizontal="right"/>
      <protection hidden="1"/>
    </xf>
    <xf numFmtId="44" fontId="40" fillId="0" borderId="2" xfId="3" applyFont="1" applyBorder="1" applyAlignment="1" applyProtection="1">
      <alignment horizontal="center"/>
      <protection hidden="1"/>
    </xf>
    <xf numFmtId="0" fontId="37" fillId="0" borderId="1" xfId="2" applyFont="1" applyBorder="1" applyAlignment="1" applyProtection="1">
      <alignment horizontal="center"/>
      <protection hidden="1"/>
    </xf>
    <xf numFmtId="165" fontId="47" fillId="0" borderId="1" xfId="3" applyNumberFormat="1" applyFont="1" applyBorder="1" applyProtection="1">
      <protection hidden="1"/>
    </xf>
    <xf numFmtId="44" fontId="47" fillId="0" borderId="1" xfId="3" applyFont="1" applyBorder="1" applyProtection="1">
      <protection hidden="1"/>
    </xf>
    <xf numFmtId="44" fontId="40" fillId="2" borderId="1" xfId="3" applyFont="1" applyFill="1" applyBorder="1" applyProtection="1">
      <protection hidden="1"/>
    </xf>
    <xf numFmtId="0" fontId="37" fillId="2" borderId="1" xfId="2" applyFont="1" applyFill="1" applyBorder="1" applyAlignment="1" applyProtection="1">
      <alignment horizontal="center"/>
      <protection hidden="1"/>
    </xf>
    <xf numFmtId="9" fontId="37" fillId="2" borderId="1" xfId="2" applyNumberFormat="1" applyFont="1" applyFill="1" applyBorder="1" applyAlignment="1" applyProtection="1">
      <alignment horizontal="center"/>
      <protection hidden="1"/>
    </xf>
    <xf numFmtId="0" fontId="40" fillId="19" borderId="1" xfId="2" applyFont="1" applyFill="1" applyBorder="1" applyProtection="1">
      <protection hidden="1"/>
    </xf>
    <xf numFmtId="0" fontId="40" fillId="19" borderId="1" xfId="2" applyFont="1" applyFill="1" applyBorder="1" applyAlignment="1" applyProtection="1">
      <alignment horizontal="center" wrapText="1"/>
      <protection hidden="1"/>
    </xf>
    <xf numFmtId="0" fontId="37" fillId="0" borderId="1" xfId="2" applyFont="1" applyBorder="1" applyProtection="1">
      <protection hidden="1"/>
    </xf>
    <xf numFmtId="170" fontId="37" fillId="5" borderId="1" xfId="14" applyNumberFormat="1" applyFont="1" applyFill="1" applyBorder="1" applyProtection="1">
      <protection hidden="1"/>
    </xf>
    <xf numFmtId="170" fontId="37" fillId="0" borderId="0" xfId="2" applyNumberFormat="1" applyFont="1" applyProtection="1">
      <protection hidden="1"/>
    </xf>
    <xf numFmtId="175" fontId="37" fillId="5" borderId="24" xfId="2" applyNumberFormat="1" applyFont="1" applyFill="1" applyBorder="1" applyAlignment="1" applyProtection="1">
      <alignment horizontal="right"/>
      <protection hidden="1"/>
    </xf>
    <xf numFmtId="175" fontId="37" fillId="5" borderId="32" xfId="2" applyNumberFormat="1" applyFont="1" applyFill="1" applyBorder="1" applyAlignment="1" applyProtection="1">
      <alignment horizontal="right"/>
      <protection hidden="1"/>
    </xf>
    <xf numFmtId="0" fontId="0" fillId="0" borderId="0" xfId="0" applyBorder="1"/>
    <xf numFmtId="0" fontId="0" fillId="0" borderId="0" xfId="0" applyFill="1" applyBorder="1"/>
    <xf numFmtId="171" fontId="27" fillId="0" borderId="0" xfId="9" applyNumberFormat="1" applyFont="1" applyFill="1" applyBorder="1" applyAlignment="1">
      <alignment horizontal="center" vertical="center"/>
    </xf>
    <xf numFmtId="0" fontId="21" fillId="7" borderId="0" xfId="15" applyFont="1" applyFill="1" applyAlignment="1" applyProtection="1">
      <alignment vertical="center"/>
      <protection hidden="1"/>
    </xf>
    <xf numFmtId="0" fontId="9" fillId="7" borderId="0" xfId="15" applyFont="1" applyFill="1" applyAlignment="1" applyProtection="1">
      <alignment vertical="center"/>
      <protection hidden="1"/>
    </xf>
    <xf numFmtId="0" fontId="9" fillId="0" borderId="0" xfId="15" applyFont="1" applyFill="1" applyBorder="1" applyAlignment="1" applyProtection="1">
      <alignment vertical="center"/>
      <protection hidden="1"/>
    </xf>
    <xf numFmtId="0" fontId="21" fillId="7" borderId="0" xfId="15" applyFont="1" applyFill="1" applyBorder="1" applyAlignment="1" applyProtection="1">
      <alignment vertical="center"/>
      <protection hidden="1"/>
    </xf>
    <xf numFmtId="0" fontId="21" fillId="0" borderId="0" xfId="15" applyFont="1" applyFill="1" applyBorder="1" applyAlignment="1" applyProtection="1">
      <alignment vertical="center"/>
      <protection hidden="1"/>
    </xf>
    <xf numFmtId="0" fontId="21" fillId="14" borderId="62" xfId="15" applyFont="1" applyFill="1" applyBorder="1" applyAlignment="1" applyProtection="1">
      <alignment vertical="center"/>
      <protection hidden="1"/>
    </xf>
    <xf numFmtId="0" fontId="21" fillId="14" borderId="65" xfId="15" applyFont="1" applyFill="1" applyBorder="1" applyAlignment="1" applyProtection="1">
      <alignment vertical="center"/>
      <protection hidden="1"/>
    </xf>
    <xf numFmtId="0" fontId="21" fillId="14" borderId="46" xfId="15" applyFont="1" applyFill="1" applyBorder="1" applyAlignment="1" applyProtection="1">
      <alignment vertical="center"/>
      <protection hidden="1"/>
    </xf>
    <xf numFmtId="0" fontId="10" fillId="9" borderId="44" xfId="15" applyFont="1" applyFill="1" applyBorder="1" applyAlignment="1" applyProtection="1">
      <alignment horizontal="center" vertical="center" wrapText="1"/>
      <protection hidden="1"/>
    </xf>
    <xf numFmtId="0" fontId="10" fillId="9" borderId="33" xfId="15" applyFont="1" applyFill="1" applyBorder="1" applyAlignment="1" applyProtection="1">
      <alignment horizontal="center" vertical="center" wrapText="1"/>
      <protection hidden="1"/>
    </xf>
    <xf numFmtId="0" fontId="9" fillId="9" borderId="1" xfId="15" applyFont="1" applyFill="1" applyBorder="1" applyAlignment="1" applyProtection="1">
      <alignment horizontal="center" vertical="center" wrapText="1"/>
      <protection hidden="1"/>
    </xf>
    <xf numFmtId="0" fontId="10" fillId="9" borderId="1" xfId="15" applyFont="1" applyFill="1" applyBorder="1" applyAlignment="1" applyProtection="1">
      <alignment horizontal="center" vertical="center" wrapText="1"/>
      <protection hidden="1"/>
    </xf>
    <xf numFmtId="0" fontId="10" fillId="20" borderId="5" xfId="15" applyFont="1" applyFill="1" applyBorder="1" applyAlignment="1" applyProtection="1">
      <alignment horizontal="center" vertical="center" wrapText="1"/>
      <protection hidden="1"/>
    </xf>
    <xf numFmtId="0" fontId="10" fillId="21" borderId="5" xfId="15" applyFont="1" applyFill="1" applyBorder="1" applyAlignment="1" applyProtection="1">
      <alignment horizontal="center" vertical="center" wrapText="1"/>
      <protection hidden="1"/>
    </xf>
    <xf numFmtId="0" fontId="19" fillId="9" borderId="7" xfId="15" applyFont="1" applyFill="1" applyBorder="1" applyAlignment="1" applyProtection="1">
      <alignment horizontal="center" vertical="center" wrapText="1"/>
      <protection hidden="1"/>
    </xf>
    <xf numFmtId="0" fontId="19" fillId="9" borderId="8" xfId="15" applyFont="1" applyFill="1" applyBorder="1" applyAlignment="1" applyProtection="1">
      <alignment horizontal="center" vertical="center" wrapText="1"/>
      <protection hidden="1"/>
    </xf>
    <xf numFmtId="0" fontId="19" fillId="9" borderId="5" xfId="15" applyFont="1" applyFill="1" applyBorder="1" applyAlignment="1" applyProtection="1">
      <alignment horizontal="center" vertical="center" wrapText="1"/>
      <protection hidden="1"/>
    </xf>
    <xf numFmtId="0" fontId="19" fillId="9" borderId="1" xfId="15" applyFont="1" applyFill="1" applyBorder="1" applyAlignment="1" applyProtection="1">
      <alignment horizontal="center" vertical="center" wrapText="1"/>
      <protection hidden="1"/>
    </xf>
    <xf numFmtId="0" fontId="19" fillId="11" borderId="1" xfId="15" applyFont="1" applyFill="1" applyBorder="1" applyAlignment="1" applyProtection="1">
      <alignment horizontal="center" vertical="center" wrapText="1"/>
      <protection hidden="1"/>
    </xf>
    <xf numFmtId="0" fontId="19" fillId="11" borderId="5" xfId="15" applyFont="1" applyFill="1" applyBorder="1" applyAlignment="1" applyProtection="1">
      <alignment horizontal="center" vertical="center" wrapText="1"/>
      <protection hidden="1"/>
    </xf>
    <xf numFmtId="0" fontId="19" fillId="22" borderId="5" xfId="15" applyFont="1" applyFill="1" applyBorder="1" applyAlignment="1" applyProtection="1">
      <alignment horizontal="center" vertical="center" wrapText="1"/>
      <protection hidden="1"/>
    </xf>
    <xf numFmtId="0" fontId="19" fillId="23" borderId="5" xfId="15" applyFont="1" applyFill="1" applyBorder="1" applyAlignment="1" applyProtection="1">
      <alignment horizontal="center" vertical="center" wrapText="1"/>
      <protection hidden="1"/>
    </xf>
    <xf numFmtId="0" fontId="19" fillId="9" borderId="27" xfId="15" applyFont="1" applyFill="1" applyBorder="1" applyAlignment="1" applyProtection="1">
      <alignment horizontal="center" vertical="center" wrapText="1"/>
      <protection hidden="1"/>
    </xf>
    <xf numFmtId="0" fontId="19" fillId="20" borderId="1" xfId="15" applyFont="1" applyFill="1" applyBorder="1" applyAlignment="1" applyProtection="1">
      <alignment horizontal="center" vertical="center" wrapText="1"/>
      <protection hidden="1"/>
    </xf>
    <xf numFmtId="0" fontId="19" fillId="21" borderId="1" xfId="15" applyFont="1" applyFill="1" applyBorder="1" applyAlignment="1" applyProtection="1">
      <alignment horizontal="center" vertical="center" wrapText="1"/>
      <protection hidden="1"/>
    </xf>
    <xf numFmtId="0" fontId="19" fillId="11" borderId="33" xfId="15" applyFont="1" applyFill="1" applyBorder="1" applyAlignment="1" applyProtection="1">
      <alignment horizontal="center" vertical="center" wrapText="1"/>
      <protection hidden="1"/>
    </xf>
    <xf numFmtId="0" fontId="19" fillId="11" borderId="6" xfId="15" applyFont="1" applyFill="1" applyBorder="1" applyAlignment="1" applyProtection="1">
      <alignment horizontal="center" vertical="center" wrapText="1"/>
      <protection hidden="1"/>
    </xf>
    <xf numFmtId="0" fontId="19" fillId="9" borderId="4" xfId="15" applyFont="1" applyFill="1" applyBorder="1" applyAlignment="1" applyProtection="1">
      <alignment horizontal="center" vertical="center" wrapText="1"/>
      <protection hidden="1"/>
    </xf>
    <xf numFmtId="0" fontId="19" fillId="9" borderId="24" xfId="15" applyFont="1" applyFill="1" applyBorder="1" applyAlignment="1" applyProtection="1">
      <alignment horizontal="center" vertical="center" wrapText="1"/>
      <protection hidden="1"/>
    </xf>
    <xf numFmtId="0" fontId="19" fillId="9" borderId="26" xfId="15" applyFont="1" applyFill="1" applyBorder="1" applyAlignment="1" applyProtection="1">
      <alignment horizontal="center" vertical="center" wrapText="1"/>
      <protection hidden="1"/>
    </xf>
    <xf numFmtId="0" fontId="9" fillId="0" borderId="0" xfId="15" applyFont="1" applyFill="1" applyBorder="1" applyAlignment="1" applyProtection="1">
      <alignment vertical="center" wrapText="1"/>
      <protection hidden="1"/>
    </xf>
    <xf numFmtId="0" fontId="19" fillId="9" borderId="53" xfId="15" applyFont="1" applyFill="1" applyBorder="1" applyAlignment="1" applyProtection="1">
      <alignment horizontal="center" vertical="center" wrapText="1"/>
      <protection hidden="1"/>
    </xf>
    <xf numFmtId="0" fontId="19" fillId="9" borderId="13" xfId="15" applyFont="1" applyFill="1" applyBorder="1" applyAlignment="1" applyProtection="1">
      <alignment horizontal="center" vertical="center" wrapText="1"/>
      <protection hidden="1"/>
    </xf>
    <xf numFmtId="0" fontId="19" fillId="20" borderId="4" xfId="15" applyFont="1" applyFill="1" applyBorder="1" applyAlignment="1" applyProtection="1">
      <alignment horizontal="center" vertical="center" wrapText="1"/>
      <protection hidden="1"/>
    </xf>
    <xf numFmtId="0" fontId="19" fillId="20" borderId="5" xfId="15" applyFont="1" applyFill="1" applyBorder="1" applyAlignment="1" applyProtection="1">
      <alignment horizontal="center" vertical="center" wrapText="1"/>
      <protection hidden="1"/>
    </xf>
    <xf numFmtId="0" fontId="19" fillId="9" borderId="33" xfId="15" applyFont="1" applyFill="1" applyBorder="1" applyAlignment="1" applyProtection="1">
      <alignment horizontal="center" vertical="center" wrapText="1"/>
      <protection hidden="1"/>
    </xf>
    <xf numFmtId="0" fontId="11" fillId="10" borderId="1" xfId="15" applyFont="1" applyFill="1" applyBorder="1" applyAlignment="1" applyProtection="1">
      <alignment horizontal="center" vertical="center" wrapText="1"/>
      <protection hidden="1"/>
    </xf>
    <xf numFmtId="3" fontId="9" fillId="0" borderId="4" xfId="15" applyNumberFormat="1" applyFont="1" applyFill="1" applyBorder="1" applyAlignment="1" applyProtection="1">
      <alignment horizontal="center" vertical="center"/>
      <protection hidden="1"/>
    </xf>
    <xf numFmtId="169" fontId="9" fillId="0" borderId="1" xfId="16" applyNumberFormat="1" applyFont="1" applyFill="1" applyBorder="1" applyAlignment="1" applyProtection="1">
      <alignment horizontal="center" vertical="center"/>
      <protection hidden="1"/>
    </xf>
    <xf numFmtId="44" fontId="9" fillId="0" borderId="1" xfId="10" applyFont="1" applyFill="1" applyBorder="1" applyAlignment="1" applyProtection="1">
      <alignment horizontal="center" vertical="center"/>
      <protection hidden="1"/>
    </xf>
    <xf numFmtId="170" fontId="9" fillId="0" borderId="1" xfId="9" applyNumberFormat="1" applyFont="1" applyFill="1" applyBorder="1" applyAlignment="1" applyProtection="1">
      <alignment horizontal="center" vertical="center"/>
      <protection hidden="1"/>
    </xf>
    <xf numFmtId="3" fontId="9" fillId="0" borderId="1" xfId="15" applyNumberFormat="1" applyFont="1" applyBorder="1" applyAlignment="1" applyProtection="1">
      <alignment vertical="center"/>
      <protection hidden="1"/>
    </xf>
    <xf numFmtId="3" fontId="9" fillId="0" borderId="5" xfId="15" applyNumberFormat="1" applyFont="1" applyBorder="1" applyAlignment="1" applyProtection="1">
      <alignment vertical="center"/>
      <protection hidden="1"/>
    </xf>
    <xf numFmtId="44" fontId="9" fillId="0" borderId="5" xfId="16" applyNumberFormat="1" applyFont="1" applyFill="1" applyBorder="1" applyAlignment="1" applyProtection="1">
      <alignment horizontal="center" vertical="center"/>
      <protection hidden="1"/>
    </xf>
    <xf numFmtId="44" fontId="10" fillId="0" borderId="5" xfId="10" applyFont="1" applyBorder="1" applyAlignment="1" applyProtection="1">
      <alignment vertical="center"/>
      <protection hidden="1"/>
    </xf>
    <xf numFmtId="169" fontId="9" fillId="0" borderId="5" xfId="16" applyNumberFormat="1" applyFont="1" applyFill="1" applyBorder="1" applyAlignment="1" applyProtection="1">
      <alignment horizontal="center" vertical="center"/>
      <protection hidden="1"/>
    </xf>
    <xf numFmtId="10" fontId="9" fillId="0" borderId="24" xfId="16" applyNumberFormat="1" applyFont="1" applyBorder="1" applyAlignment="1" applyProtection="1">
      <alignment vertical="center"/>
      <protection hidden="1"/>
    </xf>
    <xf numFmtId="178" fontId="10" fillId="0" borderId="1" xfId="15" applyNumberFormat="1" applyFont="1" applyBorder="1" applyAlignment="1" applyProtection="1">
      <alignment horizontal="center" vertical="center"/>
      <protection hidden="1"/>
    </xf>
    <xf numFmtId="3" fontId="10" fillId="0" borderId="1" xfId="15" applyNumberFormat="1" applyFont="1" applyBorder="1" applyAlignment="1" applyProtection="1">
      <alignment horizontal="right" vertical="center"/>
      <protection hidden="1"/>
    </xf>
    <xf numFmtId="3" fontId="10" fillId="9" borderId="1" xfId="15" applyNumberFormat="1" applyFont="1" applyFill="1" applyBorder="1" applyAlignment="1" applyProtection="1">
      <alignment horizontal="right" vertical="center"/>
      <protection hidden="1"/>
    </xf>
    <xf numFmtId="3" fontId="9" fillId="0" borderId="1" xfId="15" applyNumberFormat="1" applyFont="1" applyBorder="1" applyAlignment="1" applyProtection="1">
      <alignment horizontal="right" vertical="center"/>
      <protection hidden="1"/>
    </xf>
    <xf numFmtId="44" fontId="10" fillId="0" borderId="1" xfId="16" applyFont="1" applyFill="1" applyBorder="1" applyAlignment="1" applyProtection="1">
      <alignment horizontal="center" vertical="center"/>
      <protection locked="0"/>
    </xf>
    <xf numFmtId="44" fontId="10" fillId="9" borderId="1" xfId="16" applyFont="1" applyFill="1" applyBorder="1" applyAlignment="1" applyProtection="1">
      <alignment horizontal="center" vertical="center"/>
      <protection locked="0"/>
    </xf>
    <xf numFmtId="44" fontId="9" fillId="0" borderId="24" xfId="16" applyFont="1" applyBorder="1" applyAlignment="1" applyProtection="1">
      <alignment vertical="center"/>
      <protection hidden="1"/>
    </xf>
    <xf numFmtId="44" fontId="9" fillId="0" borderId="23" xfId="16" applyFont="1" applyBorder="1" applyAlignment="1" applyProtection="1">
      <alignment horizontal="center" vertical="center"/>
      <protection hidden="1"/>
    </xf>
    <xf numFmtId="0" fontId="9" fillId="10" borderId="31" xfId="15" applyFont="1" applyFill="1" applyBorder="1" applyAlignment="1" applyProtection="1">
      <alignment horizontal="center" vertical="center"/>
      <protection hidden="1"/>
    </xf>
    <xf numFmtId="0" fontId="11" fillId="10" borderId="70" xfId="15" applyFont="1" applyFill="1" applyBorder="1" applyAlignment="1" applyProtection="1">
      <alignment horizontal="center" vertical="center"/>
      <protection hidden="1"/>
    </xf>
    <xf numFmtId="3" fontId="9" fillId="0" borderId="71" xfId="15" applyNumberFormat="1" applyFont="1" applyFill="1" applyBorder="1" applyAlignment="1" applyProtection="1">
      <alignment horizontal="center" vertical="center"/>
      <protection hidden="1"/>
    </xf>
    <xf numFmtId="169" fontId="9" fillId="0" borderId="70" xfId="16" applyNumberFormat="1" applyFont="1" applyFill="1" applyBorder="1" applyAlignment="1" applyProtection="1">
      <alignment horizontal="center" vertical="center"/>
      <protection hidden="1"/>
    </xf>
    <xf numFmtId="44" fontId="9" fillId="0" borderId="70" xfId="10" applyFont="1" applyFill="1" applyBorder="1" applyAlignment="1" applyProtection="1">
      <alignment horizontal="center" vertical="center"/>
      <protection hidden="1"/>
    </xf>
    <xf numFmtId="170" fontId="9" fillId="0" borderId="70" xfId="9" applyNumberFormat="1" applyFont="1" applyFill="1" applyBorder="1" applyAlignment="1" applyProtection="1">
      <alignment horizontal="center" vertical="center"/>
      <protection hidden="1"/>
    </xf>
    <xf numFmtId="3" fontId="9" fillId="0" borderId="70" xfId="15" applyNumberFormat="1" applyFont="1" applyBorder="1" applyAlignment="1" applyProtection="1">
      <alignment vertical="center"/>
      <protection hidden="1"/>
    </xf>
    <xf numFmtId="3" fontId="9" fillId="0" borderId="72" xfId="15" applyNumberFormat="1" applyFont="1" applyBorder="1" applyAlignment="1" applyProtection="1">
      <alignment vertical="center"/>
      <protection hidden="1"/>
    </xf>
    <xf numFmtId="44" fontId="9" fillId="0" borderId="72" xfId="16" applyNumberFormat="1" applyFont="1" applyFill="1" applyBorder="1" applyAlignment="1" applyProtection="1">
      <alignment horizontal="center" vertical="center"/>
      <protection hidden="1"/>
    </xf>
    <xf numFmtId="44" fontId="10" fillId="0" borderId="72" xfId="10" applyFont="1" applyBorder="1" applyAlignment="1" applyProtection="1">
      <alignment vertical="center"/>
      <protection hidden="1"/>
    </xf>
    <xf numFmtId="169" fontId="9" fillId="0" borderId="72" xfId="16" applyNumberFormat="1" applyFont="1" applyFill="1" applyBorder="1" applyAlignment="1" applyProtection="1">
      <alignment horizontal="center" vertical="center"/>
      <protection hidden="1"/>
    </xf>
    <xf numFmtId="10" fontId="9" fillId="0" borderId="73" xfId="16" applyNumberFormat="1" applyFont="1" applyBorder="1" applyAlignment="1" applyProtection="1">
      <alignment vertical="center"/>
      <protection hidden="1"/>
    </xf>
    <xf numFmtId="178" fontId="10" fillId="0" borderId="70" xfId="15" applyNumberFormat="1" applyFont="1" applyBorder="1" applyAlignment="1" applyProtection="1">
      <alignment horizontal="center" vertical="center"/>
      <protection hidden="1"/>
    </xf>
    <xf numFmtId="3" fontId="10" fillId="0" borderId="70" xfId="15" applyNumberFormat="1" applyFont="1" applyBorder="1" applyAlignment="1" applyProtection="1">
      <alignment horizontal="right" vertical="center"/>
      <protection hidden="1"/>
    </xf>
    <xf numFmtId="3" fontId="9" fillId="0" borderId="70" xfId="15" applyNumberFormat="1" applyFont="1" applyBorder="1" applyAlignment="1" applyProtection="1">
      <alignment horizontal="right" vertical="center"/>
      <protection hidden="1"/>
    </xf>
    <xf numFmtId="44" fontId="10" fillId="0" borderId="70" xfId="16" applyFont="1" applyFill="1" applyBorder="1" applyAlignment="1" applyProtection="1">
      <alignment horizontal="center" vertical="center"/>
      <protection locked="0"/>
    </xf>
    <xf numFmtId="44" fontId="9" fillId="0" borderId="73" xfId="16" applyFont="1" applyBorder="1" applyAlignment="1" applyProtection="1">
      <alignment vertical="center"/>
      <protection hidden="1"/>
    </xf>
    <xf numFmtId="44" fontId="9" fillId="0" borderId="75" xfId="16" applyFont="1" applyBorder="1" applyAlignment="1" applyProtection="1">
      <alignment horizontal="center" vertical="center"/>
      <protection hidden="1"/>
    </xf>
    <xf numFmtId="169" fontId="9" fillId="0" borderId="33" xfId="16" applyNumberFormat="1" applyFont="1" applyFill="1" applyBorder="1" applyAlignment="1" applyProtection="1">
      <alignment horizontal="center" vertical="center"/>
      <protection hidden="1"/>
    </xf>
    <xf numFmtId="44" fontId="9" fillId="0" borderId="33" xfId="10" applyFont="1" applyFill="1" applyBorder="1" applyAlignment="1" applyProtection="1">
      <alignment horizontal="center" vertical="center"/>
      <protection hidden="1"/>
    </xf>
    <xf numFmtId="3" fontId="9" fillId="0" borderId="33" xfId="15" applyNumberFormat="1" applyFont="1" applyBorder="1" applyAlignment="1" applyProtection="1">
      <alignment vertical="center"/>
      <protection hidden="1"/>
    </xf>
    <xf numFmtId="172" fontId="9" fillId="0" borderId="0" xfId="15" applyNumberFormat="1" applyFont="1" applyFill="1" applyBorder="1" applyAlignment="1" applyProtection="1">
      <alignment vertical="center"/>
      <protection hidden="1"/>
    </xf>
    <xf numFmtId="3" fontId="9" fillId="0" borderId="70" xfId="15" applyNumberFormat="1" applyFont="1" applyFill="1" applyBorder="1" applyAlignment="1" applyProtection="1">
      <alignment horizontal="center" vertical="center"/>
      <protection hidden="1"/>
    </xf>
    <xf numFmtId="0" fontId="11" fillId="10" borderId="70" xfId="15" applyFont="1" applyFill="1" applyBorder="1" applyAlignment="1" applyProtection="1">
      <alignment horizontal="center" vertical="center"/>
      <protection hidden="1"/>
    </xf>
    <xf numFmtId="0" fontId="11" fillId="10" borderId="70" xfId="15" applyFont="1" applyFill="1" applyBorder="1" applyAlignment="1" applyProtection="1">
      <alignment vertical="center" wrapText="1"/>
      <protection hidden="1"/>
    </xf>
    <xf numFmtId="0" fontId="10" fillId="0" borderId="0" xfId="15" applyFont="1" applyFill="1" applyBorder="1" applyAlignment="1" applyProtection="1">
      <alignment vertical="center"/>
      <protection hidden="1"/>
    </xf>
    <xf numFmtId="0" fontId="11" fillId="10" borderId="30" xfId="15" applyFont="1" applyFill="1" applyBorder="1" applyAlignment="1" applyProtection="1">
      <alignment horizontal="center" vertical="center"/>
      <protection hidden="1"/>
    </xf>
    <xf numFmtId="0" fontId="11" fillId="10" borderId="33" xfId="15" applyFont="1" applyFill="1" applyBorder="1" applyAlignment="1" applyProtection="1">
      <alignment horizontal="center" vertical="center"/>
      <protection hidden="1"/>
    </xf>
    <xf numFmtId="44" fontId="10" fillId="0" borderId="33" xfId="10" applyFont="1" applyFill="1" applyBorder="1" applyAlignment="1" applyProtection="1">
      <alignment horizontal="center" vertical="center"/>
      <protection hidden="1"/>
    </xf>
    <xf numFmtId="3" fontId="10" fillId="0" borderId="8" xfId="15" applyNumberFormat="1" applyFont="1" applyBorder="1" applyAlignment="1" applyProtection="1">
      <alignment vertical="center"/>
      <protection hidden="1"/>
    </xf>
    <xf numFmtId="44" fontId="10" fillId="0" borderId="8" xfId="10" applyFont="1" applyBorder="1" applyAlignment="1" applyProtection="1">
      <alignment vertical="center"/>
      <protection hidden="1"/>
    </xf>
    <xf numFmtId="44" fontId="10" fillId="0" borderId="26" xfId="16" applyFont="1" applyBorder="1" applyAlignment="1" applyProtection="1">
      <alignment horizontal="center" vertical="center"/>
      <protection hidden="1"/>
    </xf>
    <xf numFmtId="0" fontId="10" fillId="9" borderId="82" xfId="15" applyFont="1" applyFill="1" applyBorder="1" applyAlignment="1" applyProtection="1">
      <alignment horizontal="center" vertical="center"/>
      <protection hidden="1"/>
    </xf>
    <xf numFmtId="3" fontId="10" fillId="9" borderId="19" xfId="15" applyNumberFormat="1" applyFont="1" applyFill="1" applyBorder="1" applyAlignment="1" applyProtection="1">
      <alignment horizontal="center" vertical="center"/>
      <protection hidden="1"/>
    </xf>
    <xf numFmtId="0" fontId="10" fillId="9" borderId="18" xfId="15" applyFont="1" applyFill="1" applyBorder="1" applyAlignment="1" applyProtection="1">
      <alignment horizontal="center" vertical="center"/>
      <protection hidden="1"/>
    </xf>
    <xf numFmtId="44" fontId="10" fillId="9" borderId="18" xfId="10" applyFont="1" applyFill="1" applyBorder="1" applyAlignment="1" applyProtection="1">
      <alignment horizontal="center" vertical="center"/>
      <protection hidden="1"/>
    </xf>
    <xf numFmtId="3" fontId="10" fillId="9" borderId="20" xfId="17" applyNumberFormat="1" applyFont="1" applyFill="1" applyBorder="1" applyAlignment="1" applyProtection="1">
      <alignment vertical="center"/>
      <protection hidden="1"/>
    </xf>
    <xf numFmtId="3" fontId="10" fillId="9" borderId="18" xfId="15" applyNumberFormat="1" applyFont="1" applyFill="1" applyBorder="1" applyAlignment="1" applyProtection="1">
      <alignment vertical="center"/>
      <protection hidden="1"/>
    </xf>
    <xf numFmtId="44" fontId="10" fillId="9" borderId="20" xfId="10" applyFont="1" applyFill="1" applyBorder="1" applyAlignment="1" applyProtection="1">
      <alignment vertical="center"/>
      <protection hidden="1"/>
    </xf>
    <xf numFmtId="10" fontId="10" fillId="9" borderId="17" xfId="16" applyNumberFormat="1" applyFont="1" applyFill="1" applyBorder="1" applyAlignment="1" applyProtection="1">
      <alignment vertical="center"/>
      <protection hidden="1"/>
    </xf>
    <xf numFmtId="3" fontId="10" fillId="9" borderId="19" xfId="15" applyNumberFormat="1" applyFont="1" applyFill="1" applyBorder="1" applyAlignment="1" applyProtection="1">
      <alignment vertical="center"/>
      <protection hidden="1"/>
    </xf>
    <xf numFmtId="178" fontId="10" fillId="9" borderId="19" xfId="15" applyNumberFormat="1" applyFont="1" applyFill="1" applyBorder="1" applyAlignment="1" applyProtection="1">
      <alignment horizontal="center" vertical="center"/>
      <protection hidden="1"/>
    </xf>
    <xf numFmtId="0" fontId="10" fillId="9" borderId="18" xfId="15" applyFont="1" applyFill="1" applyBorder="1" applyAlignment="1" applyProtection="1">
      <alignment vertical="center"/>
      <protection hidden="1"/>
    </xf>
    <xf numFmtId="44" fontId="10" fillId="9" borderId="18" xfId="15" applyNumberFormat="1" applyFont="1" applyFill="1" applyBorder="1" applyAlignment="1" applyProtection="1">
      <alignment vertical="center"/>
      <protection hidden="1"/>
    </xf>
    <xf numFmtId="44" fontId="10" fillId="9" borderId="17" xfId="15" applyNumberFormat="1" applyFont="1" applyFill="1" applyBorder="1" applyAlignment="1" applyProtection="1">
      <alignment vertical="center"/>
      <protection hidden="1"/>
    </xf>
    <xf numFmtId="44" fontId="10" fillId="9" borderId="16" xfId="15" applyNumberFormat="1" applyFont="1" applyFill="1" applyBorder="1" applyAlignment="1" applyProtection="1">
      <alignment vertical="center"/>
      <protection hidden="1"/>
    </xf>
    <xf numFmtId="0" fontId="9" fillId="7" borderId="0" xfId="15" applyFont="1" applyFill="1" applyAlignment="1" applyProtection="1">
      <alignment horizontal="center" vertical="center"/>
      <protection hidden="1"/>
    </xf>
    <xf numFmtId="0" fontId="10" fillId="7" borderId="0" xfId="15" applyFont="1" applyFill="1" applyAlignment="1" applyProtection="1">
      <alignment horizontal="left" vertical="center"/>
      <protection hidden="1"/>
    </xf>
    <xf numFmtId="0" fontId="13" fillId="7" borderId="0" xfId="15" applyFont="1" applyFill="1" applyAlignment="1" applyProtection="1">
      <alignment horizontal="center" vertical="center"/>
      <protection hidden="1"/>
    </xf>
    <xf numFmtId="44" fontId="9" fillId="0" borderId="0" xfId="15" applyNumberFormat="1" applyFont="1" applyFill="1" applyBorder="1" applyAlignment="1" applyProtection="1">
      <alignment vertical="center"/>
      <protection hidden="1"/>
    </xf>
    <xf numFmtId="0" fontId="9" fillId="7" borderId="0" xfId="15" applyFont="1" applyFill="1" applyAlignment="1" applyProtection="1">
      <alignment horizontal="left" vertical="center"/>
      <protection hidden="1"/>
    </xf>
    <xf numFmtId="180" fontId="9" fillId="7" borderId="0" xfId="15" applyNumberFormat="1" applyFont="1" applyFill="1" applyAlignment="1" applyProtection="1">
      <alignment vertical="center"/>
      <protection hidden="1"/>
    </xf>
    <xf numFmtId="9" fontId="9" fillId="7" borderId="0" xfId="15" applyNumberFormat="1" applyFont="1" applyFill="1" applyAlignment="1" applyProtection="1">
      <alignment horizontal="center" vertical="center"/>
      <protection hidden="1"/>
    </xf>
    <xf numFmtId="44" fontId="9" fillId="7" borderId="0" xfId="15" applyNumberFormat="1" applyFont="1" applyFill="1" applyAlignment="1" applyProtection="1">
      <alignment vertical="center"/>
      <protection hidden="1"/>
    </xf>
    <xf numFmtId="3" fontId="9" fillId="7" borderId="0" xfId="15" applyNumberFormat="1" applyFont="1" applyFill="1" applyAlignment="1" applyProtection="1">
      <alignment vertical="center"/>
      <protection hidden="1"/>
    </xf>
    <xf numFmtId="0" fontId="21" fillId="7" borderId="0" xfId="15" applyFont="1" applyFill="1" applyAlignment="1" applyProtection="1">
      <alignment horizontal="left" vertical="center"/>
      <protection hidden="1"/>
    </xf>
    <xf numFmtId="0" fontId="21" fillId="15" borderId="40" xfId="15" applyFont="1" applyFill="1" applyBorder="1" applyAlignment="1" applyProtection="1">
      <alignment vertical="center"/>
      <protection hidden="1"/>
    </xf>
    <xf numFmtId="0" fontId="21" fillId="15" borderId="39" xfId="15" applyFont="1" applyFill="1" applyBorder="1" applyAlignment="1" applyProtection="1">
      <alignment vertical="center"/>
      <protection hidden="1"/>
    </xf>
    <xf numFmtId="0" fontId="21" fillId="15" borderId="66" xfId="15" applyFont="1" applyFill="1" applyBorder="1" applyAlignment="1" applyProtection="1">
      <alignment vertical="center"/>
      <protection hidden="1"/>
    </xf>
    <xf numFmtId="0" fontId="21" fillId="15" borderId="3" xfId="15" applyFont="1" applyFill="1" applyBorder="1" applyAlignment="1" applyProtection="1">
      <alignment vertical="center"/>
      <protection hidden="1"/>
    </xf>
    <xf numFmtId="0" fontId="10" fillId="12" borderId="48" xfId="15" applyFont="1" applyFill="1" applyBorder="1" applyAlignment="1" applyProtection="1">
      <alignment vertical="center"/>
      <protection hidden="1"/>
    </xf>
    <xf numFmtId="0" fontId="10" fillId="12" borderId="52" xfId="15" applyFont="1" applyFill="1" applyBorder="1" applyAlignment="1" applyProtection="1">
      <alignment vertical="center"/>
      <protection hidden="1"/>
    </xf>
    <xf numFmtId="0" fontId="10" fillId="12" borderId="51" xfId="15" applyFont="1" applyFill="1" applyBorder="1" applyAlignment="1" applyProtection="1">
      <alignment vertical="center"/>
      <protection hidden="1"/>
    </xf>
    <xf numFmtId="0" fontId="10" fillId="9" borderId="9" xfId="15" applyFont="1" applyFill="1" applyBorder="1" applyAlignment="1" applyProtection="1">
      <alignment horizontal="center" vertical="center" wrapText="1"/>
      <protection hidden="1"/>
    </xf>
    <xf numFmtId="0" fontId="10" fillId="9" borderId="30" xfId="15" applyFont="1" applyFill="1" applyBorder="1" applyAlignment="1" applyProtection="1">
      <alignment horizontal="center" vertical="center" wrapText="1"/>
      <protection hidden="1"/>
    </xf>
    <xf numFmtId="0" fontId="9" fillId="9" borderId="31" xfId="15" applyFont="1" applyFill="1" applyBorder="1" applyAlignment="1" applyProtection="1">
      <alignment horizontal="center" vertical="center" wrapText="1"/>
      <protection hidden="1"/>
    </xf>
    <xf numFmtId="0" fontId="9" fillId="9" borderId="30" xfId="15" applyFont="1" applyFill="1" applyBorder="1" applyAlignment="1" applyProtection="1">
      <alignment horizontal="center" vertical="center" wrapText="1"/>
      <protection hidden="1"/>
    </xf>
    <xf numFmtId="0" fontId="19" fillId="9" borderId="9" xfId="15" applyFont="1" applyFill="1" applyBorder="1" applyAlignment="1" applyProtection="1">
      <alignment horizontal="center" vertical="center" wrapText="1"/>
      <protection hidden="1"/>
    </xf>
    <xf numFmtId="0" fontId="19" fillId="9" borderId="30" xfId="15" applyFont="1" applyFill="1" applyBorder="1" applyAlignment="1" applyProtection="1">
      <alignment horizontal="center" vertical="center" wrapText="1"/>
      <protection hidden="1"/>
    </xf>
    <xf numFmtId="0" fontId="19" fillId="9" borderId="31" xfId="15" applyFont="1" applyFill="1" applyBorder="1" applyAlignment="1" applyProtection="1">
      <alignment horizontal="center" vertical="center" wrapText="1"/>
      <protection hidden="1"/>
    </xf>
    <xf numFmtId="0" fontId="19" fillId="9" borderId="44" xfId="15" applyFont="1" applyFill="1" applyBorder="1" applyAlignment="1" applyProtection="1">
      <alignment horizontal="center" vertical="center" wrapText="1"/>
      <protection hidden="1"/>
    </xf>
    <xf numFmtId="0" fontId="19" fillId="9" borderId="54" xfId="15" applyFont="1" applyFill="1" applyBorder="1" applyAlignment="1" applyProtection="1">
      <alignment horizontal="center" vertical="center" wrapText="1"/>
      <protection hidden="1"/>
    </xf>
    <xf numFmtId="0" fontId="19" fillId="9" borderId="41" xfId="15" applyFont="1" applyFill="1" applyBorder="1" applyAlignment="1" applyProtection="1">
      <alignment horizontal="center" vertical="center" wrapText="1"/>
      <protection hidden="1"/>
    </xf>
    <xf numFmtId="0" fontId="9" fillId="7" borderId="0" xfId="15" applyFont="1" applyFill="1" applyAlignment="1" applyProtection="1">
      <alignment vertical="center" wrapText="1"/>
      <protection hidden="1"/>
    </xf>
    <xf numFmtId="0" fontId="9" fillId="7" borderId="1" xfId="15" applyFont="1" applyFill="1" applyBorder="1" applyAlignment="1" applyProtection="1">
      <alignment vertical="center" wrapText="1"/>
      <protection hidden="1"/>
    </xf>
    <xf numFmtId="0" fontId="20" fillId="10" borderId="7" xfId="15" applyFont="1" applyFill="1" applyBorder="1" applyAlignment="1" applyProtection="1">
      <alignment horizontal="center" vertical="center"/>
      <protection hidden="1"/>
    </xf>
    <xf numFmtId="3" fontId="9" fillId="0" borderId="33" xfId="15" applyNumberFormat="1" applyFont="1" applyFill="1" applyBorder="1" applyAlignment="1" applyProtection="1">
      <alignment horizontal="center" vertical="center"/>
      <protection hidden="1"/>
    </xf>
    <xf numFmtId="181" fontId="9" fillId="0" borderId="33" xfId="15" applyNumberFormat="1" applyFont="1" applyFill="1" applyBorder="1" applyAlignment="1" applyProtection="1">
      <alignment horizontal="center" vertical="center"/>
      <protection hidden="1"/>
    </xf>
    <xf numFmtId="181" fontId="9" fillId="0" borderId="33" xfId="15" applyNumberFormat="1" applyFont="1" applyBorder="1" applyAlignment="1" applyProtection="1">
      <alignment horizontal="center" vertical="center"/>
      <protection hidden="1"/>
    </xf>
    <xf numFmtId="3" fontId="9" fillId="0" borderId="33" xfId="15" applyNumberFormat="1" applyFont="1" applyBorder="1" applyAlignment="1" applyProtection="1">
      <alignment horizontal="center" vertical="center"/>
      <protection hidden="1"/>
    </xf>
    <xf numFmtId="44" fontId="9" fillId="0" borderId="32" xfId="16" applyFont="1" applyBorder="1" applyAlignment="1" applyProtection="1">
      <alignment vertical="center"/>
      <protection hidden="1"/>
    </xf>
    <xf numFmtId="44" fontId="9" fillId="0" borderId="26" xfId="16" applyFont="1" applyBorder="1" applyAlignment="1" applyProtection="1">
      <alignment horizontal="center" vertical="center"/>
      <protection hidden="1"/>
    </xf>
    <xf numFmtId="0" fontId="20" fillId="10" borderId="14" xfId="15" applyFont="1" applyFill="1" applyBorder="1" applyAlignment="1" applyProtection="1">
      <alignment horizontal="center" vertical="center"/>
      <protection hidden="1"/>
    </xf>
    <xf numFmtId="3" fontId="9" fillId="0" borderId="1" xfId="15" applyNumberFormat="1" applyFont="1" applyFill="1" applyBorder="1" applyAlignment="1" applyProtection="1">
      <alignment horizontal="center" vertical="center"/>
      <protection hidden="1"/>
    </xf>
    <xf numFmtId="4" fontId="9" fillId="0" borderId="1" xfId="15" applyNumberFormat="1" applyFont="1" applyFill="1" applyBorder="1" applyAlignment="1" applyProtection="1">
      <alignment horizontal="center" vertical="center"/>
      <protection hidden="1"/>
    </xf>
    <xf numFmtId="3" fontId="9" fillId="0" borderId="1" xfId="15" applyNumberFormat="1" applyFont="1" applyBorder="1" applyAlignment="1" applyProtection="1">
      <alignment horizontal="center" vertical="center"/>
      <protection hidden="1"/>
    </xf>
    <xf numFmtId="0" fontId="20" fillId="10" borderId="14" xfId="15" applyFont="1" applyFill="1" applyBorder="1" applyAlignment="1" applyProtection="1">
      <alignment horizontal="center" vertical="center" wrapText="1"/>
      <protection hidden="1"/>
    </xf>
    <xf numFmtId="0" fontId="9" fillId="7" borderId="84" xfId="15" applyFont="1" applyFill="1" applyBorder="1" applyAlignment="1" applyProtection="1">
      <alignment vertical="center"/>
      <protection hidden="1"/>
    </xf>
    <xf numFmtId="4" fontId="9" fillId="0" borderId="1" xfId="16" applyNumberFormat="1" applyFont="1" applyFill="1" applyBorder="1" applyAlignment="1" applyProtection="1">
      <alignment horizontal="center" vertical="center"/>
      <protection hidden="1"/>
    </xf>
    <xf numFmtId="3" fontId="18" fillId="0" borderId="1" xfId="15" applyNumberFormat="1" applyFont="1" applyFill="1" applyBorder="1" applyAlignment="1" applyProtection="1">
      <alignment horizontal="center" vertical="center"/>
      <protection hidden="1"/>
    </xf>
    <xf numFmtId="4" fontId="18" fillId="0" borderId="1" xfId="15" applyNumberFormat="1" applyFont="1" applyFill="1" applyBorder="1" applyAlignment="1" applyProtection="1">
      <alignment horizontal="center" vertical="center"/>
      <protection hidden="1"/>
    </xf>
    <xf numFmtId="169" fontId="18" fillId="0" borderId="1" xfId="16" applyNumberFormat="1" applyFont="1" applyFill="1" applyBorder="1" applyAlignment="1" applyProtection="1">
      <alignment horizontal="center" vertical="center"/>
      <protection hidden="1"/>
    </xf>
    <xf numFmtId="3" fontId="18" fillId="0" borderId="71" xfId="15" applyNumberFormat="1" applyFont="1" applyFill="1" applyBorder="1" applyAlignment="1" applyProtection="1">
      <alignment horizontal="center" vertical="center"/>
      <protection hidden="1"/>
    </xf>
    <xf numFmtId="167" fontId="18" fillId="0" borderId="70" xfId="16" applyNumberFormat="1" applyFont="1" applyFill="1" applyBorder="1" applyAlignment="1" applyProtection="1">
      <alignment horizontal="center" vertical="center"/>
      <protection hidden="1"/>
    </xf>
    <xf numFmtId="4" fontId="18" fillId="0" borderId="70" xfId="16" applyNumberFormat="1" applyFont="1" applyFill="1" applyBorder="1" applyAlignment="1" applyProtection="1">
      <alignment horizontal="center" vertical="center"/>
      <protection hidden="1"/>
    </xf>
    <xf numFmtId="3" fontId="18" fillId="0" borderId="70" xfId="16" applyNumberFormat="1" applyFont="1" applyFill="1" applyBorder="1" applyAlignment="1" applyProtection="1">
      <alignment horizontal="center" vertical="center"/>
      <protection hidden="1"/>
    </xf>
    <xf numFmtId="169" fontId="18" fillId="0" borderId="70" xfId="16" applyNumberFormat="1" applyFont="1" applyFill="1" applyBorder="1" applyAlignment="1" applyProtection="1">
      <alignment horizontal="center" vertical="center"/>
      <protection hidden="1"/>
    </xf>
    <xf numFmtId="3" fontId="10" fillId="9" borderId="87" xfId="15" applyNumberFormat="1" applyFont="1" applyFill="1" applyBorder="1" applyAlignment="1" applyProtection="1">
      <alignment horizontal="center" vertical="center"/>
      <protection hidden="1"/>
    </xf>
    <xf numFmtId="3" fontId="10" fillId="9" borderId="88" xfId="15" applyNumberFormat="1" applyFont="1" applyFill="1" applyBorder="1" applyAlignment="1" applyProtection="1">
      <alignment horizontal="center" vertical="center"/>
      <protection hidden="1"/>
    </xf>
    <xf numFmtId="0" fontId="10" fillId="9" borderId="89" xfId="15" applyFont="1" applyFill="1" applyBorder="1" applyAlignment="1" applyProtection="1">
      <alignment horizontal="center" vertical="center"/>
      <protection hidden="1"/>
    </xf>
    <xf numFmtId="3" fontId="10" fillId="9" borderId="89" xfId="15" applyNumberFormat="1" applyFont="1" applyFill="1" applyBorder="1" applyAlignment="1" applyProtection="1">
      <alignment vertical="center"/>
      <protection hidden="1"/>
    </xf>
    <xf numFmtId="44" fontId="10" fillId="9" borderId="90" xfId="16" applyFont="1" applyFill="1" applyBorder="1" applyAlignment="1" applyProtection="1">
      <alignment vertical="center"/>
      <protection hidden="1"/>
    </xf>
    <xf numFmtId="44" fontId="10" fillId="9" borderId="82" xfId="16" applyFont="1" applyFill="1" applyBorder="1" applyAlignment="1" applyProtection="1">
      <alignment vertical="center"/>
      <protection hidden="1"/>
    </xf>
    <xf numFmtId="3" fontId="10" fillId="9" borderId="87" xfId="15" applyNumberFormat="1" applyFont="1" applyFill="1" applyBorder="1" applyAlignment="1" applyProtection="1">
      <alignment vertical="center"/>
      <protection hidden="1"/>
    </xf>
    <xf numFmtId="0" fontId="10" fillId="9" borderId="89" xfId="15" applyFont="1" applyFill="1" applyBorder="1" applyAlignment="1" applyProtection="1">
      <alignment vertical="center"/>
      <protection hidden="1"/>
    </xf>
    <xf numFmtId="44" fontId="10" fillId="9" borderId="90" xfId="15" applyNumberFormat="1" applyFont="1" applyFill="1" applyBorder="1" applyAlignment="1" applyProtection="1">
      <alignment vertical="center"/>
      <protection hidden="1"/>
    </xf>
    <xf numFmtId="0" fontId="21" fillId="7" borderId="0" xfId="15" applyFont="1" applyFill="1" applyAlignment="1">
      <alignment horizontal="left" vertical="center"/>
    </xf>
    <xf numFmtId="0" fontId="9" fillId="7" borderId="0" xfId="15" applyFont="1" applyFill="1" applyAlignment="1">
      <alignment vertical="center"/>
    </xf>
    <xf numFmtId="0" fontId="10" fillId="9" borderId="30" xfId="15" applyFont="1" applyFill="1" applyBorder="1" applyAlignment="1">
      <alignment horizontal="center" vertical="center" wrapText="1"/>
    </xf>
    <xf numFmtId="0" fontId="10" fillId="9" borderId="10" xfId="15" applyFont="1" applyFill="1" applyBorder="1" applyAlignment="1">
      <alignment horizontal="center" vertical="center" wrapText="1"/>
    </xf>
    <xf numFmtId="0" fontId="10" fillId="9" borderId="29" xfId="15" applyFont="1" applyFill="1" applyBorder="1" applyAlignment="1">
      <alignment horizontal="center" vertical="center" wrapText="1"/>
    </xf>
    <xf numFmtId="0" fontId="19" fillId="9" borderId="33" xfId="15" applyFont="1" applyFill="1" applyBorder="1" applyAlignment="1">
      <alignment horizontal="center" vertical="center" wrapText="1"/>
    </xf>
    <xf numFmtId="0" fontId="19" fillId="9" borderId="8" xfId="15" applyFont="1" applyFill="1" applyBorder="1" applyAlignment="1">
      <alignment horizontal="center" vertical="center" wrapText="1"/>
    </xf>
    <xf numFmtId="0" fontId="19" fillId="9" borderId="32" xfId="15" applyFont="1" applyFill="1" applyBorder="1" applyAlignment="1">
      <alignment horizontal="center" vertical="center" wrapText="1"/>
    </xf>
    <xf numFmtId="0" fontId="9" fillId="7" borderId="0" xfId="15" applyFont="1" applyFill="1" applyAlignment="1">
      <alignment vertical="center" wrapText="1"/>
    </xf>
    <xf numFmtId="0" fontId="9" fillId="10" borderId="25" xfId="15" applyFont="1" applyFill="1" applyBorder="1" applyAlignment="1" applyProtection="1">
      <alignment horizontal="center" vertical="center"/>
      <protection hidden="1"/>
    </xf>
    <xf numFmtId="0" fontId="20" fillId="10" borderId="5" xfId="15" applyFont="1" applyFill="1" applyBorder="1" applyAlignment="1" applyProtection="1">
      <alignment horizontal="center" vertical="center"/>
      <protection hidden="1"/>
    </xf>
    <xf numFmtId="44" fontId="18" fillId="0" borderId="1" xfId="15" applyNumberFormat="1" applyFont="1" applyFill="1" applyBorder="1" applyAlignment="1">
      <alignment horizontal="center" vertical="center" wrapText="1"/>
    </xf>
    <xf numFmtId="44" fontId="18" fillId="0" borderId="5" xfId="15" applyNumberFormat="1" applyFont="1" applyFill="1" applyBorder="1" applyAlignment="1">
      <alignment horizontal="center" vertical="center" wrapText="1"/>
    </xf>
    <xf numFmtId="44" fontId="19" fillId="9" borderId="24" xfId="16" applyFont="1" applyFill="1" applyBorder="1" applyAlignment="1">
      <alignment horizontal="center" vertical="center" wrapText="1"/>
    </xf>
    <xf numFmtId="44" fontId="10" fillId="9" borderId="42" xfId="16" applyFont="1" applyFill="1" applyBorder="1" applyAlignment="1">
      <alignment horizontal="center" vertical="center"/>
    </xf>
    <xf numFmtId="44" fontId="10" fillId="9" borderId="2" xfId="16" applyFont="1" applyFill="1" applyBorder="1" applyAlignment="1">
      <alignment horizontal="center" vertical="center"/>
    </xf>
    <xf numFmtId="0" fontId="10" fillId="7" borderId="0" xfId="15" applyFont="1" applyFill="1" applyAlignment="1">
      <alignment horizontal="left" vertical="center"/>
    </xf>
    <xf numFmtId="0" fontId="9" fillId="7" borderId="0" xfId="15" applyFont="1" applyFill="1" applyAlignment="1">
      <alignment horizontal="center" vertical="center"/>
    </xf>
    <xf numFmtId="0" fontId="9" fillId="7" borderId="0" xfId="15" applyFont="1" applyFill="1" applyAlignment="1">
      <alignment horizontal="left" vertical="center"/>
    </xf>
    <xf numFmtId="170" fontId="0" fillId="0" borderId="0" xfId="0" applyNumberFormat="1"/>
    <xf numFmtId="3" fontId="9" fillId="0" borderId="1" xfId="15" applyNumberFormat="1" applyFont="1" applyFill="1" applyBorder="1" applyAlignment="1" applyProtection="1">
      <alignment vertical="center"/>
      <protection hidden="1"/>
    </xf>
    <xf numFmtId="44" fontId="9" fillId="0" borderId="24" xfId="16" applyFont="1" applyFill="1" applyBorder="1" applyAlignment="1" applyProtection="1">
      <alignment vertical="center"/>
      <protection hidden="1"/>
    </xf>
    <xf numFmtId="3" fontId="35" fillId="0" borderId="1" xfId="15" applyNumberFormat="1" applyFont="1" applyFill="1" applyBorder="1" applyAlignment="1" applyProtection="1">
      <alignment horizontal="center" vertical="center"/>
      <protection hidden="1"/>
    </xf>
    <xf numFmtId="4" fontId="35" fillId="0" borderId="1" xfId="15" applyNumberFormat="1" applyFont="1" applyFill="1" applyBorder="1" applyAlignment="1" applyProtection="1">
      <alignment horizontal="center" vertical="center"/>
      <protection hidden="1"/>
    </xf>
    <xf numFmtId="3" fontId="9" fillId="0" borderId="34" xfId="15" applyNumberFormat="1" applyFont="1" applyFill="1" applyBorder="1" applyAlignment="1" applyProtection="1">
      <alignment horizontal="center" vertical="center"/>
      <protection locked="0"/>
    </xf>
    <xf numFmtId="4" fontId="9" fillId="0" borderId="34" xfId="15" applyNumberFormat="1" applyFont="1" applyFill="1" applyBorder="1" applyAlignment="1" applyProtection="1">
      <alignment horizontal="center" vertical="center"/>
      <protection locked="0"/>
    </xf>
    <xf numFmtId="169" fontId="9" fillId="0" borderId="33" xfId="16" applyNumberFormat="1" applyFont="1" applyFill="1" applyBorder="1" applyAlignment="1" applyProtection="1">
      <alignment horizontal="center" vertical="center"/>
      <protection locked="0"/>
    </xf>
    <xf numFmtId="3" fontId="9" fillId="0" borderId="33" xfId="15" applyNumberFormat="1" applyFont="1" applyFill="1" applyBorder="1" applyAlignment="1" applyProtection="1">
      <alignment vertical="center"/>
      <protection hidden="1"/>
    </xf>
    <xf numFmtId="44" fontId="9" fillId="0" borderId="32" xfId="16" applyFont="1" applyFill="1" applyBorder="1" applyAlignment="1" applyProtection="1">
      <alignment vertical="center"/>
      <protection hidden="1"/>
    </xf>
    <xf numFmtId="3" fontId="9" fillId="0" borderId="25" xfId="15" applyNumberFormat="1" applyFont="1" applyFill="1" applyBorder="1" applyAlignment="1" applyProtection="1">
      <alignment horizontal="center" vertical="center"/>
      <protection locked="0"/>
    </xf>
    <xf numFmtId="4" fontId="9" fillId="0" borderId="1" xfId="15" applyNumberFormat="1" applyFont="1" applyFill="1" applyBorder="1" applyAlignment="1" applyProtection="1">
      <alignment horizontal="center" vertical="center"/>
      <protection locked="0"/>
    </xf>
    <xf numFmtId="169" fontId="9" fillId="0" borderId="1" xfId="16" applyNumberFormat="1" applyFont="1" applyFill="1" applyBorder="1" applyAlignment="1" applyProtection="1">
      <alignment horizontal="center" vertical="center"/>
      <protection locked="0"/>
    </xf>
    <xf numFmtId="4" fontId="35" fillId="0" borderId="34" xfId="15" applyNumberFormat="1" applyFont="1" applyFill="1" applyBorder="1" applyAlignment="1" applyProtection="1">
      <alignment horizontal="center" vertical="center"/>
      <protection locked="0"/>
    </xf>
    <xf numFmtId="3" fontId="35" fillId="0" borderId="34" xfId="15" applyNumberFormat="1" applyFont="1" applyFill="1" applyBorder="1" applyAlignment="1" applyProtection="1">
      <alignment horizontal="center" vertical="center"/>
      <protection locked="0"/>
    </xf>
    <xf numFmtId="3" fontId="35" fillId="0" borderId="33" xfId="15" applyNumberFormat="1" applyFont="1" applyFill="1" applyBorder="1" applyAlignment="1" applyProtection="1">
      <alignment horizontal="center" vertical="center"/>
      <protection hidden="1"/>
    </xf>
    <xf numFmtId="169" fontId="35" fillId="0" borderId="33" xfId="16" applyNumberFormat="1" applyFont="1" applyFill="1" applyBorder="1" applyAlignment="1" applyProtection="1">
      <alignment horizontal="center" vertical="center"/>
      <protection locked="0"/>
    </xf>
    <xf numFmtId="3" fontId="35" fillId="0" borderId="33" xfId="15" applyNumberFormat="1" applyFont="1" applyFill="1" applyBorder="1" applyAlignment="1" applyProtection="1">
      <alignment vertical="center"/>
      <protection hidden="1"/>
    </xf>
    <xf numFmtId="44" fontId="35" fillId="0" borderId="32" xfId="16" applyFont="1" applyFill="1" applyBorder="1" applyAlignment="1" applyProtection="1">
      <alignment vertical="center"/>
      <protection hidden="1"/>
    </xf>
    <xf numFmtId="0" fontId="36" fillId="0" borderId="0" xfId="0" applyFont="1"/>
    <xf numFmtId="0" fontId="9" fillId="7" borderId="0" xfId="15" applyFont="1" applyFill="1" applyBorder="1" applyAlignment="1" applyProtection="1">
      <alignment vertical="center"/>
      <protection hidden="1"/>
    </xf>
    <xf numFmtId="44" fontId="37" fillId="0" borderId="0" xfId="2" applyNumberFormat="1" applyFont="1" applyProtection="1">
      <protection hidden="1"/>
    </xf>
    <xf numFmtId="175" fontId="37" fillId="0" borderId="0" xfId="2" applyNumberFormat="1" applyFont="1" applyProtection="1">
      <protection hidden="1"/>
    </xf>
    <xf numFmtId="2" fontId="0" fillId="0" borderId="0" xfId="0" applyNumberFormat="1"/>
    <xf numFmtId="0" fontId="0" fillId="0" borderId="0" xfId="0" applyAlignment="1">
      <alignment horizontal="right"/>
    </xf>
    <xf numFmtId="0" fontId="13" fillId="10" borderId="70" xfId="15" applyFont="1" applyFill="1" applyBorder="1" applyAlignment="1" applyProtection="1">
      <alignment horizontal="center" vertical="center"/>
      <protection hidden="1"/>
    </xf>
    <xf numFmtId="178" fontId="9" fillId="0" borderId="33" xfId="15" applyNumberFormat="1" applyFont="1" applyBorder="1" applyAlignment="1" applyProtection="1">
      <alignment horizontal="center" vertical="center"/>
      <protection hidden="1"/>
    </xf>
    <xf numFmtId="3" fontId="9" fillId="0" borderId="33" xfId="15" applyNumberFormat="1" applyFont="1" applyBorder="1" applyAlignment="1" applyProtection="1">
      <alignment horizontal="right" vertical="center"/>
      <protection hidden="1"/>
    </xf>
    <xf numFmtId="44" fontId="9" fillId="0" borderId="33" xfId="16" applyFont="1" applyFill="1" applyBorder="1" applyAlignment="1" applyProtection="1">
      <alignment horizontal="center" vertical="center"/>
      <protection locked="0"/>
    </xf>
    <xf numFmtId="3" fontId="9" fillId="9" borderId="1" xfId="15" applyNumberFormat="1" applyFont="1" applyFill="1" applyBorder="1" applyAlignment="1" applyProtection="1">
      <alignment horizontal="right" vertical="center"/>
      <protection hidden="1"/>
    </xf>
    <xf numFmtId="44" fontId="9" fillId="0" borderId="1" xfId="16" applyFont="1" applyFill="1" applyBorder="1" applyAlignment="1" applyProtection="1">
      <alignment horizontal="center" vertical="center"/>
      <protection locked="0"/>
    </xf>
    <xf numFmtId="44" fontId="9" fillId="9" borderId="1" xfId="16" applyFont="1" applyFill="1" applyBorder="1" applyAlignment="1" applyProtection="1">
      <alignment horizontal="center" vertical="center"/>
      <protection locked="0"/>
    </xf>
    <xf numFmtId="0" fontId="13" fillId="19" borderId="70" xfId="15" applyFont="1" applyFill="1" applyBorder="1" applyAlignment="1" applyProtection="1">
      <alignment horizontal="center" vertical="center"/>
      <protection hidden="1"/>
    </xf>
    <xf numFmtId="3" fontId="10" fillId="19" borderId="71" xfId="15" applyNumberFormat="1" applyFont="1" applyFill="1" applyBorder="1" applyAlignment="1" applyProtection="1">
      <alignment horizontal="center" vertical="center"/>
      <protection hidden="1"/>
    </xf>
    <xf numFmtId="169" fontId="10" fillId="19" borderId="70" xfId="16" applyNumberFormat="1" applyFont="1" applyFill="1" applyBorder="1" applyAlignment="1" applyProtection="1">
      <alignment horizontal="center" vertical="center"/>
      <protection hidden="1"/>
    </xf>
    <xf numFmtId="44" fontId="10" fillId="19" borderId="70" xfId="10" applyFont="1" applyFill="1" applyBorder="1" applyAlignment="1" applyProtection="1">
      <alignment horizontal="center" vertical="center"/>
      <protection hidden="1"/>
    </xf>
    <xf numFmtId="170" fontId="10" fillId="19" borderId="70" xfId="9" applyNumberFormat="1" applyFont="1" applyFill="1" applyBorder="1" applyAlignment="1" applyProtection="1">
      <alignment horizontal="center" vertical="center"/>
      <protection hidden="1"/>
    </xf>
    <xf numFmtId="3" fontId="10" fillId="19" borderId="72" xfId="15" applyNumberFormat="1" applyFont="1" applyFill="1" applyBorder="1" applyAlignment="1" applyProtection="1">
      <alignment vertical="center"/>
      <protection hidden="1"/>
    </xf>
    <xf numFmtId="3" fontId="10" fillId="19" borderId="70" xfId="15" applyNumberFormat="1" applyFont="1" applyFill="1" applyBorder="1" applyAlignment="1" applyProtection="1">
      <alignment vertical="center"/>
      <protection hidden="1"/>
    </xf>
    <xf numFmtId="165" fontId="10" fillId="19" borderId="72" xfId="15" applyNumberFormat="1" applyFont="1" applyFill="1" applyBorder="1" applyAlignment="1" applyProtection="1">
      <alignment vertical="center"/>
      <protection hidden="1"/>
    </xf>
    <xf numFmtId="44" fontId="10" fillId="19" borderId="72" xfId="10" applyFont="1" applyFill="1" applyBorder="1" applyAlignment="1" applyProtection="1">
      <alignment vertical="center"/>
      <protection hidden="1"/>
    </xf>
    <xf numFmtId="4" fontId="10" fillId="19" borderId="72" xfId="15" applyNumberFormat="1" applyFont="1" applyFill="1" applyBorder="1" applyAlignment="1" applyProtection="1">
      <alignment vertical="center"/>
      <protection hidden="1"/>
    </xf>
    <xf numFmtId="10" fontId="10" fillId="19" borderId="73" xfId="16" applyNumberFormat="1" applyFont="1" applyFill="1" applyBorder="1" applyAlignment="1" applyProtection="1">
      <alignment vertical="center"/>
      <protection hidden="1"/>
    </xf>
    <xf numFmtId="3" fontId="10" fillId="19" borderId="74" xfId="15" applyNumberFormat="1" applyFont="1" applyFill="1" applyBorder="1" applyAlignment="1" applyProtection="1">
      <alignment horizontal="right" vertical="center"/>
      <protection locked="0"/>
    </xf>
    <xf numFmtId="3" fontId="10" fillId="19" borderId="71" xfId="15" applyNumberFormat="1" applyFont="1" applyFill="1" applyBorder="1" applyAlignment="1" applyProtection="1">
      <alignment horizontal="right" vertical="center"/>
      <protection locked="0"/>
    </xf>
    <xf numFmtId="3" fontId="10" fillId="19" borderId="70" xfId="15" applyNumberFormat="1" applyFont="1" applyFill="1" applyBorder="1" applyAlignment="1" applyProtection="1">
      <alignment horizontal="right" vertical="center"/>
      <protection locked="0"/>
    </xf>
    <xf numFmtId="178" fontId="10" fillId="19" borderId="70" xfId="15" applyNumberFormat="1" applyFont="1" applyFill="1" applyBorder="1" applyAlignment="1" applyProtection="1">
      <alignment horizontal="center" vertical="center"/>
      <protection hidden="1"/>
    </xf>
    <xf numFmtId="3" fontId="10" fillId="19" borderId="70" xfId="15" applyNumberFormat="1" applyFont="1" applyFill="1" applyBorder="1" applyAlignment="1" applyProtection="1">
      <alignment horizontal="right" vertical="center"/>
      <protection hidden="1"/>
    </xf>
    <xf numFmtId="44" fontId="10" fillId="19" borderId="70" xfId="16" applyFont="1" applyFill="1" applyBorder="1" applyAlignment="1" applyProtection="1">
      <alignment horizontal="center" vertical="center"/>
      <protection locked="0"/>
    </xf>
    <xf numFmtId="44" fontId="10" fillId="19" borderId="73" xfId="16" applyFont="1" applyFill="1" applyBorder="1" applyAlignment="1" applyProtection="1">
      <alignment vertical="center"/>
      <protection hidden="1"/>
    </xf>
    <xf numFmtId="0" fontId="13" fillId="19" borderId="76" xfId="15" applyFont="1" applyFill="1" applyBorder="1" applyAlignment="1" applyProtection="1">
      <alignment horizontal="center" vertical="center"/>
      <protection hidden="1"/>
    </xf>
    <xf numFmtId="3" fontId="10" fillId="19" borderId="77" xfId="15" applyNumberFormat="1" applyFont="1" applyFill="1" applyBorder="1" applyAlignment="1" applyProtection="1">
      <alignment horizontal="center" vertical="center"/>
      <protection hidden="1"/>
    </xf>
    <xf numFmtId="169" fontId="10" fillId="19" borderId="76" xfId="16" applyNumberFormat="1" applyFont="1" applyFill="1" applyBorder="1" applyAlignment="1" applyProtection="1">
      <alignment horizontal="center" vertical="center"/>
      <protection hidden="1"/>
    </xf>
    <xf numFmtId="44" fontId="10" fillId="19" borderId="76" xfId="10" applyFont="1" applyFill="1" applyBorder="1" applyAlignment="1" applyProtection="1">
      <alignment horizontal="center" vertical="center"/>
      <protection hidden="1"/>
    </xf>
    <xf numFmtId="3" fontId="10" fillId="19" borderId="78" xfId="15" applyNumberFormat="1" applyFont="1" applyFill="1" applyBorder="1" applyAlignment="1" applyProtection="1">
      <alignment vertical="center"/>
      <protection hidden="1"/>
    </xf>
    <xf numFmtId="3" fontId="10" fillId="19" borderId="76" xfId="15" applyNumberFormat="1" applyFont="1" applyFill="1" applyBorder="1" applyAlignment="1" applyProtection="1">
      <alignment vertical="center"/>
      <protection hidden="1"/>
    </xf>
    <xf numFmtId="44" fontId="10" fillId="19" borderId="78" xfId="10" applyFont="1" applyFill="1" applyBorder="1" applyAlignment="1" applyProtection="1">
      <alignment vertical="center"/>
      <protection hidden="1"/>
    </xf>
    <xf numFmtId="4" fontId="10" fillId="19" borderId="78" xfId="15" applyNumberFormat="1" applyFont="1" applyFill="1" applyBorder="1" applyAlignment="1" applyProtection="1">
      <alignment vertical="center"/>
      <protection hidden="1"/>
    </xf>
    <xf numFmtId="10" fontId="10" fillId="19" borderId="79" xfId="16" applyNumberFormat="1" applyFont="1" applyFill="1" applyBorder="1" applyAlignment="1" applyProtection="1">
      <alignment vertical="center"/>
      <protection hidden="1"/>
    </xf>
    <xf numFmtId="3" fontId="10" fillId="19" borderId="80" xfId="15" applyNumberFormat="1" applyFont="1" applyFill="1" applyBorder="1" applyAlignment="1" applyProtection="1">
      <alignment horizontal="right" vertical="center"/>
      <protection locked="0"/>
    </xf>
    <xf numFmtId="3" fontId="10" fillId="19" borderId="77" xfId="15" applyNumberFormat="1" applyFont="1" applyFill="1" applyBorder="1" applyAlignment="1" applyProtection="1">
      <alignment horizontal="right" vertical="center"/>
      <protection locked="0"/>
    </xf>
    <xf numFmtId="3" fontId="10" fillId="19" borderId="76" xfId="15" applyNumberFormat="1" applyFont="1" applyFill="1" applyBorder="1" applyAlignment="1" applyProtection="1">
      <alignment horizontal="right" vertical="center"/>
      <protection locked="0"/>
    </xf>
    <xf numFmtId="178" fontId="10" fillId="19" borderId="76" xfId="15" applyNumberFormat="1" applyFont="1" applyFill="1" applyBorder="1" applyAlignment="1" applyProtection="1">
      <alignment horizontal="center" vertical="center"/>
      <protection hidden="1"/>
    </xf>
    <xf numFmtId="179" fontId="10" fillId="19" borderId="76" xfId="15" applyNumberFormat="1" applyFont="1" applyFill="1" applyBorder="1" applyAlignment="1" applyProtection="1">
      <alignment horizontal="center" vertical="center"/>
      <protection locked="0"/>
    </xf>
    <xf numFmtId="3" fontId="10" fillId="19" borderId="76" xfId="15" applyNumberFormat="1" applyFont="1" applyFill="1" applyBorder="1" applyAlignment="1" applyProtection="1">
      <alignment horizontal="right" vertical="center"/>
      <protection hidden="1"/>
    </xf>
    <xf numFmtId="44" fontId="10" fillId="19" borderId="76" xfId="16" applyFont="1" applyFill="1" applyBorder="1" applyAlignment="1" applyProtection="1">
      <alignment horizontal="center" vertical="center"/>
      <protection locked="0"/>
    </xf>
    <xf numFmtId="44" fontId="10" fillId="19" borderId="79" xfId="16" applyFont="1" applyFill="1" applyBorder="1" applyAlignment="1" applyProtection="1">
      <alignment vertical="center"/>
      <protection hidden="1"/>
    </xf>
    <xf numFmtId="3" fontId="9" fillId="0" borderId="6" xfId="15" applyNumberFormat="1" applyFont="1" applyFill="1" applyBorder="1" applyAlignment="1" applyProtection="1">
      <alignment horizontal="center" vertical="center"/>
      <protection hidden="1"/>
    </xf>
    <xf numFmtId="179" fontId="0" fillId="0" borderId="0" xfId="0" applyNumberFormat="1"/>
    <xf numFmtId="170" fontId="37" fillId="0" borderId="1" xfId="14" applyNumberFormat="1" applyFont="1" applyFill="1" applyBorder="1" applyProtection="1">
      <protection hidden="1"/>
    </xf>
    <xf numFmtId="1" fontId="13" fillId="7" borderId="15" xfId="15" applyNumberFormat="1" applyFont="1" applyFill="1" applyBorder="1" applyAlignment="1" applyProtection="1">
      <alignment horizontal="center" vertical="center"/>
      <protection locked="0"/>
    </xf>
    <xf numFmtId="0" fontId="35" fillId="0" borderId="0" xfId="1" applyFont="1" applyAlignment="1">
      <alignment horizontal="left" vertical="center" indent="2"/>
    </xf>
    <xf numFmtId="10" fontId="9" fillId="0" borderId="32" xfId="16" applyNumberFormat="1" applyFont="1" applyBorder="1" applyAlignment="1" applyProtection="1">
      <alignment vertical="center"/>
      <protection hidden="1"/>
    </xf>
    <xf numFmtId="0" fontId="20" fillId="19" borderId="78" xfId="15" applyFont="1" applyFill="1" applyBorder="1" applyAlignment="1" applyProtection="1">
      <alignment horizontal="center" vertical="center"/>
      <protection hidden="1"/>
    </xf>
    <xf numFmtId="3" fontId="9" fillId="19" borderId="76" xfId="15" applyNumberFormat="1" applyFont="1" applyFill="1" applyBorder="1" applyAlignment="1" applyProtection="1">
      <alignment horizontal="center" vertical="center"/>
      <protection hidden="1"/>
    </xf>
    <xf numFmtId="178" fontId="9" fillId="19" borderId="76" xfId="15" applyNumberFormat="1" applyFont="1" applyFill="1" applyBorder="1" applyAlignment="1" applyProtection="1">
      <alignment horizontal="center" vertical="center"/>
      <protection hidden="1"/>
    </xf>
    <xf numFmtId="44" fontId="9" fillId="19" borderId="79" xfId="16" applyFont="1" applyFill="1" applyBorder="1" applyAlignment="1" applyProtection="1">
      <alignment vertical="center"/>
      <protection hidden="1"/>
    </xf>
    <xf numFmtId="3" fontId="9" fillId="19" borderId="80" xfId="15" applyNumberFormat="1" applyFont="1" applyFill="1" applyBorder="1" applyAlignment="1" applyProtection="1">
      <alignment horizontal="center" vertical="center"/>
      <protection locked="0"/>
    </xf>
    <xf numFmtId="4" fontId="9" fillId="19" borderId="76" xfId="15" applyNumberFormat="1" applyFont="1" applyFill="1" applyBorder="1" applyAlignment="1" applyProtection="1">
      <alignment horizontal="center" vertical="center"/>
      <protection locked="0"/>
    </xf>
    <xf numFmtId="44" fontId="9" fillId="19" borderId="76" xfId="16" applyFont="1" applyFill="1" applyBorder="1" applyAlignment="1" applyProtection="1">
      <alignment horizontal="center" vertical="center"/>
      <protection locked="0"/>
    </xf>
    <xf numFmtId="3" fontId="9" fillId="19" borderId="76" xfId="15" applyNumberFormat="1" applyFont="1" applyFill="1" applyBorder="1" applyAlignment="1" applyProtection="1">
      <alignment vertical="center"/>
      <protection hidden="1"/>
    </xf>
    <xf numFmtId="169" fontId="18" fillId="19" borderId="76" xfId="16" applyNumberFormat="1" applyFont="1" applyFill="1" applyBorder="1" applyAlignment="1" applyProtection="1">
      <alignment horizontal="center" vertical="center"/>
      <protection hidden="1"/>
    </xf>
    <xf numFmtId="4" fontId="18" fillId="19" borderId="76" xfId="16" applyNumberFormat="1" applyFont="1" applyFill="1" applyBorder="1" applyAlignment="1" applyProtection="1">
      <alignment horizontal="center" vertical="center"/>
      <protection hidden="1"/>
    </xf>
    <xf numFmtId="169" fontId="9" fillId="19" borderId="76" xfId="16" applyNumberFormat="1" applyFont="1" applyFill="1" applyBorder="1" applyAlignment="1" applyProtection="1">
      <alignment horizontal="center" vertical="center"/>
      <protection hidden="1"/>
    </xf>
    <xf numFmtId="4" fontId="9" fillId="19" borderId="76" xfId="16" applyNumberFormat="1" applyFont="1" applyFill="1" applyBorder="1" applyAlignment="1" applyProtection="1">
      <alignment horizontal="center" vertical="center"/>
      <protection hidden="1"/>
    </xf>
    <xf numFmtId="3" fontId="9" fillId="19" borderId="76" xfId="16" applyNumberFormat="1" applyFont="1" applyFill="1" applyBorder="1" applyAlignment="1" applyProtection="1">
      <alignment horizontal="center" vertical="center"/>
      <protection hidden="1"/>
    </xf>
    <xf numFmtId="0" fontId="20" fillId="0" borderId="14" xfId="15" applyFont="1" applyFill="1" applyBorder="1" applyAlignment="1" applyProtection="1">
      <alignment horizontal="center" vertical="center" wrapText="1"/>
      <protection hidden="1"/>
    </xf>
    <xf numFmtId="44" fontId="9" fillId="0" borderId="23" xfId="16" applyFont="1" applyFill="1" applyBorder="1" applyAlignment="1" applyProtection="1">
      <alignment horizontal="center" vertical="center"/>
      <protection hidden="1"/>
    </xf>
    <xf numFmtId="0" fontId="9" fillId="0" borderId="0" xfId="15" applyFont="1" applyFill="1" applyAlignment="1" applyProtection="1">
      <alignment vertical="center"/>
      <protection hidden="1"/>
    </xf>
    <xf numFmtId="44" fontId="35" fillId="0" borderId="23" xfId="16" applyFont="1" applyFill="1" applyBorder="1" applyAlignment="1" applyProtection="1">
      <alignment horizontal="center" vertical="center"/>
      <protection hidden="1"/>
    </xf>
    <xf numFmtId="0" fontId="20" fillId="0" borderId="14" xfId="15" applyFont="1" applyFill="1" applyBorder="1" applyAlignment="1" applyProtection="1">
      <alignment horizontal="center" vertical="center"/>
      <protection hidden="1"/>
    </xf>
    <xf numFmtId="3" fontId="11" fillId="0" borderId="1" xfId="15" applyNumberFormat="1" applyFont="1" applyFill="1" applyBorder="1" applyAlignment="1" applyProtection="1">
      <alignment horizontal="center" vertical="center"/>
      <protection hidden="1"/>
    </xf>
    <xf numFmtId="4" fontId="11" fillId="0" borderId="1" xfId="15" applyNumberFormat="1" applyFont="1" applyFill="1" applyBorder="1" applyAlignment="1" applyProtection="1">
      <alignment horizontal="center" vertical="center"/>
      <protection hidden="1"/>
    </xf>
    <xf numFmtId="4" fontId="11" fillId="0" borderId="34" xfId="15" applyNumberFormat="1" applyFont="1" applyFill="1" applyBorder="1" applyAlignment="1" applyProtection="1">
      <alignment horizontal="center" vertical="center"/>
      <protection locked="0"/>
    </xf>
    <xf numFmtId="3" fontId="11" fillId="0" borderId="34" xfId="15" applyNumberFormat="1" applyFont="1" applyFill="1" applyBorder="1" applyAlignment="1" applyProtection="1">
      <alignment horizontal="center" vertical="center"/>
      <protection locked="0"/>
    </xf>
    <xf numFmtId="3" fontId="9" fillId="7" borderId="0" xfId="15" applyNumberFormat="1" applyFont="1" applyFill="1" applyAlignment="1" applyProtection="1">
      <alignment horizontal="center" vertical="center"/>
      <protection hidden="1"/>
    </xf>
    <xf numFmtId="49" fontId="10" fillId="9" borderId="5" xfId="15" applyNumberFormat="1" applyFont="1" applyFill="1" applyBorder="1" applyAlignment="1" applyProtection="1">
      <alignment horizontal="center" vertical="center" wrapText="1"/>
      <protection hidden="1"/>
    </xf>
    <xf numFmtId="177" fontId="37" fillId="5" borderId="1" xfId="13" applyNumberFormat="1" applyFont="1" applyFill="1" applyBorder="1" applyProtection="1">
      <protection hidden="1"/>
    </xf>
    <xf numFmtId="177" fontId="37" fillId="19" borderId="1" xfId="13" applyNumberFormat="1" applyFont="1" applyFill="1" applyBorder="1" applyProtection="1">
      <protection hidden="1"/>
    </xf>
    <xf numFmtId="170" fontId="40" fillId="19" borderId="1" xfId="2" applyNumberFormat="1" applyFont="1" applyFill="1" applyBorder="1" applyProtection="1">
      <protection hidden="1"/>
    </xf>
    <xf numFmtId="175" fontId="37" fillId="0" borderId="55" xfId="2" applyNumberFormat="1" applyFont="1" applyFill="1" applyBorder="1" applyAlignment="1" applyProtection="1">
      <alignment horizontal="right"/>
      <protection hidden="1"/>
    </xf>
    <xf numFmtId="0" fontId="48" fillId="10" borderId="33" xfId="15" applyFont="1" applyFill="1" applyBorder="1" applyAlignment="1" applyProtection="1">
      <alignment horizontal="center" vertical="center" wrapText="1"/>
      <protection hidden="1"/>
    </xf>
    <xf numFmtId="170" fontId="48" fillId="0" borderId="1" xfId="9" applyNumberFormat="1" applyFont="1" applyFill="1" applyBorder="1" applyAlignment="1" applyProtection="1">
      <alignment horizontal="center" vertical="center"/>
      <protection hidden="1"/>
    </xf>
    <xf numFmtId="169" fontId="48" fillId="0" borderId="1" xfId="16" applyNumberFormat="1" applyFont="1" applyFill="1" applyBorder="1" applyAlignment="1" applyProtection="1">
      <alignment horizontal="center" vertical="center"/>
      <protection hidden="1"/>
    </xf>
    <xf numFmtId="44" fontId="48" fillId="0" borderId="33" xfId="10" applyFont="1" applyFill="1" applyBorder="1" applyAlignment="1" applyProtection="1">
      <alignment horizontal="center" vertical="center"/>
      <protection hidden="1"/>
    </xf>
    <xf numFmtId="3" fontId="48" fillId="0" borderId="33" xfId="15" applyNumberFormat="1" applyFont="1" applyBorder="1" applyAlignment="1" applyProtection="1">
      <alignment vertical="center"/>
      <protection hidden="1"/>
    </xf>
    <xf numFmtId="3" fontId="48" fillId="0" borderId="8" xfId="15" applyNumberFormat="1" applyFont="1" applyBorder="1" applyAlignment="1" applyProtection="1">
      <alignment vertical="center"/>
      <protection hidden="1"/>
    </xf>
    <xf numFmtId="44" fontId="48" fillId="0" borderId="8" xfId="16" applyNumberFormat="1" applyFont="1" applyFill="1" applyBorder="1" applyAlignment="1" applyProtection="1">
      <alignment horizontal="center" vertical="center"/>
      <protection hidden="1"/>
    </xf>
    <xf numFmtId="44" fontId="48" fillId="0" borderId="5" xfId="16" applyNumberFormat="1" applyFont="1" applyFill="1" applyBorder="1" applyAlignment="1" applyProtection="1">
      <alignment horizontal="center" vertical="center"/>
      <protection hidden="1"/>
    </xf>
    <xf numFmtId="44" fontId="49" fillId="0" borderId="5" xfId="10" applyFont="1" applyBorder="1" applyAlignment="1" applyProtection="1">
      <alignment vertical="center"/>
      <protection hidden="1"/>
    </xf>
    <xf numFmtId="169" fontId="48" fillId="0" borderId="5" xfId="16" applyNumberFormat="1" applyFont="1" applyFill="1" applyBorder="1" applyAlignment="1" applyProtection="1">
      <alignment horizontal="center" vertical="center"/>
      <protection hidden="1"/>
    </xf>
    <xf numFmtId="10" fontId="48" fillId="0" borderId="69" xfId="16" applyNumberFormat="1" applyFont="1" applyBorder="1" applyAlignment="1" applyProtection="1">
      <alignment vertical="center"/>
      <protection hidden="1"/>
    </xf>
    <xf numFmtId="178" fontId="49" fillId="0" borderId="1" xfId="15" applyNumberFormat="1" applyFont="1" applyBorder="1" applyAlignment="1" applyProtection="1">
      <alignment horizontal="center" vertical="center"/>
      <protection hidden="1"/>
    </xf>
    <xf numFmtId="3" fontId="49" fillId="0" borderId="33" xfId="15" applyNumberFormat="1" applyFont="1" applyBorder="1" applyAlignment="1" applyProtection="1">
      <alignment horizontal="right" vertical="center"/>
      <protection hidden="1"/>
    </xf>
    <xf numFmtId="3" fontId="48" fillId="0" borderId="1" xfId="15" applyNumberFormat="1" applyFont="1" applyBorder="1" applyAlignment="1" applyProtection="1">
      <alignment horizontal="right" vertical="center"/>
      <protection hidden="1"/>
    </xf>
    <xf numFmtId="44" fontId="49" fillId="0" borderId="1" xfId="16" applyFont="1" applyFill="1" applyBorder="1" applyAlignment="1" applyProtection="1">
      <alignment horizontal="center" vertical="center"/>
      <protection locked="0"/>
    </xf>
    <xf numFmtId="3" fontId="48" fillId="0" borderId="1" xfId="15" applyNumberFormat="1" applyFont="1" applyBorder="1" applyAlignment="1" applyProtection="1">
      <alignment vertical="center"/>
      <protection hidden="1"/>
    </xf>
    <xf numFmtId="44" fontId="48" fillId="0" borderId="24" xfId="16" applyFont="1" applyBorder="1" applyAlignment="1" applyProtection="1">
      <alignment vertical="center"/>
      <protection hidden="1"/>
    </xf>
    <xf numFmtId="44" fontId="48" fillId="0" borderId="23" xfId="16" applyFont="1" applyBorder="1" applyAlignment="1" applyProtection="1">
      <alignment horizontal="center" vertical="center"/>
      <protection hidden="1"/>
    </xf>
    <xf numFmtId="0" fontId="48" fillId="10" borderId="69" xfId="15" applyFont="1" applyFill="1" applyBorder="1" applyAlignment="1" applyProtection="1">
      <alignment horizontal="center" vertical="center"/>
      <protection hidden="1"/>
    </xf>
    <xf numFmtId="170" fontId="48" fillId="0" borderId="69" xfId="9" applyNumberFormat="1" applyFont="1" applyFill="1" applyBorder="1" applyAlignment="1" applyProtection="1">
      <alignment horizontal="center" vertical="center"/>
      <protection hidden="1"/>
    </xf>
    <xf numFmtId="169" fontId="48" fillId="0" borderId="69" xfId="16" applyNumberFormat="1" applyFont="1" applyFill="1" applyBorder="1" applyAlignment="1" applyProtection="1">
      <alignment horizontal="center" vertical="center"/>
      <protection hidden="1"/>
    </xf>
    <xf numFmtId="44" fontId="48" fillId="0" borderId="69" xfId="10" applyFont="1" applyFill="1" applyBorder="1" applyAlignment="1" applyProtection="1">
      <alignment horizontal="center" vertical="center"/>
      <protection hidden="1"/>
    </xf>
    <xf numFmtId="3" fontId="48" fillId="0" borderId="69" xfId="15" applyNumberFormat="1" applyFont="1" applyBorder="1" applyAlignment="1" applyProtection="1">
      <alignment vertical="center"/>
      <protection hidden="1"/>
    </xf>
    <xf numFmtId="4" fontId="48" fillId="0" borderId="69" xfId="15" applyNumberFormat="1" applyFont="1" applyBorder="1" applyAlignment="1" applyProtection="1">
      <alignment vertical="center"/>
      <protection hidden="1"/>
    </xf>
    <xf numFmtId="44" fontId="49" fillId="0" borderId="69" xfId="10" applyFont="1" applyBorder="1" applyAlignment="1" applyProtection="1">
      <alignment vertical="center"/>
      <protection hidden="1"/>
    </xf>
    <xf numFmtId="178" fontId="49" fillId="0" borderId="69" xfId="15" applyNumberFormat="1" applyFont="1" applyBorder="1" applyAlignment="1" applyProtection="1">
      <alignment horizontal="center" vertical="center"/>
      <protection hidden="1"/>
    </xf>
    <xf numFmtId="3" fontId="49" fillId="0" borderId="69" xfId="15" applyNumberFormat="1" applyFont="1" applyBorder="1" applyAlignment="1" applyProtection="1">
      <alignment horizontal="right" vertical="center"/>
      <protection hidden="1"/>
    </xf>
    <xf numFmtId="3" fontId="48" fillId="0" borderId="69" xfId="15" applyNumberFormat="1" applyFont="1" applyBorder="1" applyAlignment="1" applyProtection="1">
      <alignment horizontal="right" vertical="center"/>
      <protection hidden="1"/>
    </xf>
    <xf numFmtId="44" fontId="49" fillId="0" borderId="69" xfId="16" applyFont="1" applyFill="1" applyBorder="1" applyAlignment="1" applyProtection="1">
      <alignment horizontal="center" vertical="center"/>
      <protection locked="0"/>
    </xf>
    <xf numFmtId="44" fontId="48" fillId="0" borderId="69" xfId="16" applyFont="1" applyBorder="1" applyAlignment="1" applyProtection="1">
      <alignment vertical="center"/>
      <protection hidden="1"/>
    </xf>
    <xf numFmtId="44" fontId="48" fillId="0" borderId="69" xfId="16" applyFont="1" applyBorder="1" applyAlignment="1" applyProtection="1">
      <alignment horizontal="center" vertical="center"/>
      <protection hidden="1"/>
    </xf>
    <xf numFmtId="0" fontId="48" fillId="10" borderId="70" xfId="15" applyFont="1" applyFill="1" applyBorder="1" applyAlignment="1" applyProtection="1">
      <alignment horizontal="center" vertical="center"/>
      <protection hidden="1"/>
    </xf>
    <xf numFmtId="3" fontId="48" fillId="0" borderId="70" xfId="15" applyNumberFormat="1" applyFont="1" applyFill="1" applyBorder="1" applyAlignment="1" applyProtection="1">
      <alignment horizontal="center" vertical="center"/>
      <protection hidden="1"/>
    </xf>
    <xf numFmtId="169" fontId="48" fillId="0" borderId="70" xfId="16" applyNumberFormat="1" applyFont="1" applyFill="1" applyBorder="1" applyAlignment="1" applyProtection="1">
      <alignment horizontal="center" vertical="center"/>
      <protection hidden="1"/>
    </xf>
    <xf numFmtId="44" fontId="48" fillId="0" borderId="70" xfId="10" applyFont="1" applyFill="1" applyBorder="1" applyAlignment="1" applyProtection="1">
      <alignment horizontal="center" vertical="center"/>
      <protection hidden="1"/>
    </xf>
    <xf numFmtId="170" fontId="48" fillId="0" borderId="70" xfId="9" applyNumberFormat="1" applyFont="1" applyFill="1" applyBorder="1" applyAlignment="1" applyProtection="1">
      <alignment horizontal="center" vertical="center"/>
      <protection hidden="1"/>
    </xf>
    <xf numFmtId="3" fontId="48" fillId="0" borderId="70" xfId="15" applyNumberFormat="1" applyFont="1" applyBorder="1" applyAlignment="1" applyProtection="1">
      <alignment vertical="center"/>
      <protection hidden="1"/>
    </xf>
    <xf numFmtId="44" fontId="48" fillId="0" borderId="70" xfId="16" applyNumberFormat="1" applyFont="1" applyFill="1" applyBorder="1" applyAlignment="1" applyProtection="1">
      <alignment horizontal="center" vertical="center"/>
      <protection hidden="1"/>
    </xf>
    <xf numFmtId="44" fontId="49" fillId="0" borderId="70" xfId="10" applyFont="1" applyBorder="1" applyAlignment="1" applyProtection="1">
      <alignment vertical="center"/>
      <protection hidden="1"/>
    </xf>
    <xf numFmtId="10" fontId="48" fillId="0" borderId="70" xfId="16" applyNumberFormat="1" applyFont="1" applyBorder="1" applyAlignment="1" applyProtection="1">
      <alignment vertical="center"/>
      <protection hidden="1"/>
    </xf>
    <xf numFmtId="178" fontId="49" fillId="0" borderId="70" xfId="15" applyNumberFormat="1" applyFont="1" applyBorder="1" applyAlignment="1" applyProtection="1">
      <alignment horizontal="center" vertical="center"/>
      <protection hidden="1"/>
    </xf>
    <xf numFmtId="3" fontId="49" fillId="0" borderId="70" xfId="15" applyNumberFormat="1" applyFont="1" applyBorder="1" applyAlignment="1" applyProtection="1">
      <alignment horizontal="right" vertical="center"/>
      <protection hidden="1"/>
    </xf>
    <xf numFmtId="3" fontId="48" fillId="0" borderId="70" xfId="15" applyNumberFormat="1" applyFont="1" applyBorder="1" applyAlignment="1" applyProtection="1">
      <alignment horizontal="right" vertical="center"/>
      <protection hidden="1"/>
    </xf>
    <xf numFmtId="44" fontId="49" fillId="0" borderId="70" xfId="16" applyFont="1" applyFill="1" applyBorder="1" applyAlignment="1" applyProtection="1">
      <alignment horizontal="center" vertical="center"/>
      <protection locked="0"/>
    </xf>
    <xf numFmtId="44" fontId="48" fillId="0" borderId="70" xfId="16" applyFont="1" applyBorder="1" applyAlignment="1" applyProtection="1">
      <alignment vertical="center"/>
      <protection hidden="1"/>
    </xf>
    <xf numFmtId="44" fontId="48" fillId="0" borderId="70" xfId="16" applyFont="1" applyBorder="1" applyAlignment="1" applyProtection="1">
      <alignment horizontal="center" vertical="center"/>
      <protection hidden="1"/>
    </xf>
    <xf numFmtId="44" fontId="48" fillId="0" borderId="1" xfId="10" applyFont="1" applyFill="1" applyBorder="1" applyAlignment="1" applyProtection="1">
      <alignment horizontal="center" vertical="center"/>
      <protection hidden="1"/>
    </xf>
    <xf numFmtId="3" fontId="9" fillId="0" borderId="25" xfId="15" applyNumberFormat="1" applyFont="1" applyFill="1" applyBorder="1" applyAlignment="1" applyProtection="1">
      <alignment horizontal="right" vertical="center"/>
      <protection locked="0"/>
    </xf>
    <xf numFmtId="3" fontId="9" fillId="0" borderId="4" xfId="15" applyNumberFormat="1" applyFont="1" applyFill="1" applyBorder="1" applyAlignment="1" applyProtection="1">
      <alignment horizontal="right" vertical="center"/>
      <protection locked="0"/>
    </xf>
    <xf numFmtId="3" fontId="9" fillId="0" borderId="1" xfId="15" applyNumberFormat="1" applyFont="1" applyFill="1" applyBorder="1" applyAlignment="1" applyProtection="1">
      <alignment horizontal="right" vertical="center"/>
      <protection locked="0"/>
    </xf>
    <xf numFmtId="178" fontId="9" fillId="0" borderId="1" xfId="15" applyNumberFormat="1" applyFont="1" applyFill="1" applyBorder="1" applyAlignment="1" applyProtection="1">
      <alignment horizontal="center" vertical="center"/>
      <protection hidden="1"/>
    </xf>
    <xf numFmtId="179" fontId="9" fillId="0" borderId="1" xfId="15" applyNumberFormat="1" applyFont="1" applyFill="1" applyBorder="1" applyAlignment="1" applyProtection="1">
      <alignment horizontal="center" vertical="center"/>
      <protection locked="0"/>
    </xf>
    <xf numFmtId="3" fontId="9" fillId="0" borderId="74" xfId="15" applyNumberFormat="1" applyFont="1" applyFill="1" applyBorder="1" applyAlignment="1" applyProtection="1">
      <alignment horizontal="right" vertical="center"/>
      <protection locked="0"/>
    </xf>
    <xf numFmtId="3" fontId="9" fillId="0" borderId="71" xfId="15" applyNumberFormat="1" applyFont="1" applyFill="1" applyBorder="1" applyAlignment="1" applyProtection="1">
      <alignment horizontal="right" vertical="center"/>
      <protection locked="0"/>
    </xf>
    <xf numFmtId="3" fontId="9" fillId="0" borderId="70" xfId="15" applyNumberFormat="1" applyFont="1" applyFill="1" applyBorder="1" applyAlignment="1" applyProtection="1">
      <alignment horizontal="right" vertical="center"/>
      <protection locked="0"/>
    </xf>
    <xf numFmtId="178" fontId="9" fillId="0" borderId="70" xfId="15" applyNumberFormat="1" applyFont="1" applyFill="1" applyBorder="1" applyAlignment="1" applyProtection="1">
      <alignment horizontal="center" vertical="center"/>
      <protection hidden="1"/>
    </xf>
    <xf numFmtId="179" fontId="9" fillId="0" borderId="70" xfId="15" applyNumberFormat="1" applyFont="1" applyFill="1" applyBorder="1" applyAlignment="1" applyProtection="1">
      <alignment horizontal="center" vertical="center"/>
      <protection locked="0"/>
    </xf>
    <xf numFmtId="3" fontId="48" fillId="0" borderId="34" xfId="15" applyNumberFormat="1" applyFont="1" applyFill="1" applyBorder="1" applyAlignment="1" applyProtection="1">
      <alignment horizontal="right" vertical="center"/>
      <protection locked="0"/>
    </xf>
    <xf numFmtId="3" fontId="48" fillId="0" borderId="6" xfId="15" applyNumberFormat="1" applyFont="1" applyFill="1" applyBorder="1" applyAlignment="1" applyProtection="1">
      <alignment horizontal="right" vertical="center"/>
      <protection locked="0"/>
    </xf>
    <xf numFmtId="3" fontId="48" fillId="0" borderId="33" xfId="15" applyNumberFormat="1" applyFont="1" applyFill="1" applyBorder="1" applyAlignment="1" applyProtection="1">
      <alignment horizontal="right" vertical="center"/>
      <protection locked="0"/>
    </xf>
    <xf numFmtId="178" fontId="48" fillId="0" borderId="1" xfId="15" applyNumberFormat="1" applyFont="1" applyFill="1" applyBorder="1" applyAlignment="1" applyProtection="1">
      <alignment horizontal="center" vertical="center"/>
      <protection hidden="1"/>
    </xf>
    <xf numFmtId="178" fontId="48" fillId="0" borderId="33" xfId="15" applyNumberFormat="1" applyFont="1" applyFill="1" applyBorder="1" applyAlignment="1" applyProtection="1">
      <alignment horizontal="center" vertical="center"/>
      <protection hidden="1"/>
    </xf>
    <xf numFmtId="3" fontId="48" fillId="0" borderId="69" xfId="15" applyNumberFormat="1" applyFont="1" applyFill="1" applyBorder="1" applyAlignment="1" applyProtection="1">
      <alignment horizontal="right" vertical="center"/>
      <protection locked="0"/>
    </xf>
    <xf numFmtId="3" fontId="48" fillId="0" borderId="69" xfId="15" applyNumberFormat="1" applyFont="1" applyFill="1" applyBorder="1" applyAlignment="1" applyProtection="1">
      <alignment vertical="center"/>
      <protection hidden="1"/>
    </xf>
    <xf numFmtId="178" fontId="48" fillId="0" borderId="69" xfId="15" applyNumberFormat="1" applyFont="1" applyFill="1" applyBorder="1" applyAlignment="1" applyProtection="1">
      <alignment horizontal="center" vertical="center"/>
      <protection hidden="1"/>
    </xf>
    <xf numFmtId="179" fontId="48" fillId="0" borderId="69" xfId="15" applyNumberFormat="1" applyFont="1" applyFill="1" applyBorder="1" applyAlignment="1" applyProtection="1">
      <alignment horizontal="center" vertical="center"/>
      <protection locked="0"/>
    </xf>
    <xf numFmtId="3" fontId="48" fillId="0" borderId="70" xfId="15" applyNumberFormat="1" applyFont="1" applyFill="1" applyBorder="1" applyAlignment="1" applyProtection="1">
      <alignment horizontal="right" vertical="center"/>
      <protection locked="0"/>
    </xf>
    <xf numFmtId="178" fontId="48" fillId="0" borderId="70" xfId="15" applyNumberFormat="1" applyFont="1" applyFill="1" applyBorder="1" applyAlignment="1" applyProtection="1">
      <alignment horizontal="center" vertical="center"/>
      <protection hidden="1"/>
    </xf>
    <xf numFmtId="179" fontId="48" fillId="0" borderId="70" xfId="15" applyNumberFormat="1" applyFont="1" applyFill="1" applyBorder="1" applyAlignment="1" applyProtection="1">
      <alignment horizontal="center" vertical="center"/>
      <protection locked="0"/>
    </xf>
    <xf numFmtId="3" fontId="10" fillId="0" borderId="6" xfId="15" applyNumberFormat="1" applyFont="1" applyFill="1" applyBorder="1" applyAlignment="1" applyProtection="1">
      <alignment horizontal="right" vertical="center"/>
      <protection locked="0"/>
    </xf>
    <xf numFmtId="3" fontId="10" fillId="0" borderId="8" xfId="15" applyNumberFormat="1" applyFont="1" applyFill="1" applyBorder="1" applyAlignment="1" applyProtection="1">
      <alignment vertical="center"/>
      <protection hidden="1"/>
    </xf>
    <xf numFmtId="178" fontId="9" fillId="0" borderId="33" xfId="15" applyNumberFormat="1" applyFont="1" applyFill="1" applyBorder="1" applyAlignment="1" applyProtection="1">
      <alignment horizontal="center" vertical="center"/>
      <protection hidden="1"/>
    </xf>
    <xf numFmtId="179" fontId="9" fillId="0" borderId="33" xfId="15" applyNumberFormat="1" applyFont="1" applyFill="1" applyBorder="1" applyAlignment="1" applyProtection="1">
      <alignment horizontal="center" vertical="center"/>
      <protection locked="0"/>
    </xf>
    <xf numFmtId="0" fontId="13" fillId="0" borderId="70" xfId="15" applyFont="1" applyFill="1" applyBorder="1" applyAlignment="1" applyProtection="1">
      <alignment horizontal="center" vertical="center"/>
      <protection hidden="1"/>
    </xf>
    <xf numFmtId="0" fontId="50" fillId="10" borderId="14" xfId="15" applyFont="1" applyFill="1" applyBorder="1" applyAlignment="1" applyProtection="1">
      <alignment horizontal="center" vertical="center"/>
      <protection hidden="1"/>
    </xf>
    <xf numFmtId="3" fontId="48" fillId="0" borderId="1" xfId="15" applyNumberFormat="1" applyFont="1" applyFill="1" applyBorder="1" applyAlignment="1" applyProtection="1">
      <alignment horizontal="center" vertical="center"/>
      <protection hidden="1"/>
    </xf>
    <xf numFmtId="4" fontId="48" fillId="0" borderId="1" xfId="15" applyNumberFormat="1" applyFont="1" applyFill="1" applyBorder="1" applyAlignment="1" applyProtection="1">
      <alignment horizontal="center" vertical="center"/>
      <protection hidden="1"/>
    </xf>
    <xf numFmtId="44" fontId="48" fillId="0" borderId="24" xfId="16" applyFont="1" applyFill="1" applyBorder="1" applyAlignment="1" applyProtection="1">
      <alignment vertical="center"/>
      <protection hidden="1"/>
    </xf>
    <xf numFmtId="3" fontId="48" fillId="0" borderId="25" xfId="15" applyNumberFormat="1" applyFont="1" applyFill="1" applyBorder="1" applyAlignment="1" applyProtection="1">
      <alignment horizontal="center" vertical="center"/>
      <protection locked="0"/>
    </xf>
    <xf numFmtId="4" fontId="48" fillId="0" borderId="1" xfId="15" applyNumberFormat="1" applyFont="1" applyFill="1" applyBorder="1" applyAlignment="1" applyProtection="1">
      <alignment horizontal="center" vertical="center"/>
      <protection locked="0"/>
    </xf>
    <xf numFmtId="169" fontId="48" fillId="0" borderId="1" xfId="16" applyNumberFormat="1" applyFont="1" applyFill="1" applyBorder="1" applyAlignment="1" applyProtection="1">
      <alignment horizontal="center" vertical="center"/>
      <protection locked="0"/>
    </xf>
    <xf numFmtId="3" fontId="48" fillId="0" borderId="1" xfId="15" applyNumberFormat="1" applyFont="1" applyFill="1" applyBorder="1" applyAlignment="1" applyProtection="1">
      <alignment vertical="center"/>
      <protection hidden="1"/>
    </xf>
    <xf numFmtId="3" fontId="50" fillId="0" borderId="1" xfId="15" applyNumberFormat="1" applyFont="1" applyFill="1" applyBorder="1" applyAlignment="1" applyProtection="1">
      <alignment horizontal="center" vertical="center"/>
      <protection hidden="1"/>
    </xf>
    <xf numFmtId="4" fontId="50" fillId="0" borderId="1" xfId="15" applyNumberFormat="1" applyFont="1" applyFill="1" applyBorder="1" applyAlignment="1" applyProtection="1">
      <alignment horizontal="center" vertical="center"/>
      <protection hidden="1"/>
    </xf>
    <xf numFmtId="169" fontId="50" fillId="0" borderId="1" xfId="16" applyNumberFormat="1" applyFont="1" applyFill="1" applyBorder="1" applyAlignment="1" applyProtection="1">
      <alignment horizontal="center" vertical="center"/>
      <protection hidden="1"/>
    </xf>
    <xf numFmtId="4" fontId="50" fillId="0" borderId="1" xfId="16" applyNumberFormat="1" applyFont="1" applyFill="1" applyBorder="1" applyAlignment="1" applyProtection="1">
      <alignment horizontal="center" vertical="center"/>
      <protection hidden="1"/>
    </xf>
    <xf numFmtId="181" fontId="9" fillId="0" borderId="34" xfId="15" applyNumberFormat="1" applyFont="1" applyFill="1" applyBorder="1" applyAlignment="1" applyProtection="1">
      <alignment horizontal="center" vertical="center"/>
      <protection locked="0"/>
    </xf>
    <xf numFmtId="44" fontId="48" fillId="0" borderId="1" xfId="16" applyFont="1" applyFill="1" applyBorder="1" applyAlignment="1" applyProtection="1">
      <alignment horizontal="center" vertical="center"/>
      <protection locked="0"/>
    </xf>
    <xf numFmtId="44" fontId="48" fillId="0" borderId="23" xfId="16" applyFont="1" applyFill="1" applyBorder="1" applyAlignment="1" applyProtection="1">
      <alignment horizontal="center" vertical="center"/>
      <protection hidden="1"/>
    </xf>
    <xf numFmtId="0" fontId="9" fillId="0" borderId="85" xfId="15" applyFont="1" applyFill="1" applyBorder="1" applyAlignment="1" applyProtection="1">
      <alignment horizontal="center" vertical="center"/>
      <protection hidden="1"/>
    </xf>
    <xf numFmtId="0" fontId="20" fillId="0" borderId="84" xfId="15" applyFont="1" applyFill="1" applyBorder="1" applyAlignment="1" applyProtection="1">
      <alignment horizontal="center" vertical="center"/>
      <protection hidden="1"/>
    </xf>
    <xf numFmtId="3" fontId="9" fillId="0" borderId="70" xfId="15" applyNumberFormat="1" applyFont="1" applyFill="1" applyBorder="1" applyAlignment="1" applyProtection="1">
      <alignment vertical="center"/>
      <protection hidden="1"/>
    </xf>
    <xf numFmtId="44" fontId="9" fillId="0" borderId="73" xfId="16" applyFont="1" applyFill="1" applyBorder="1" applyAlignment="1" applyProtection="1">
      <alignment vertical="center"/>
      <protection hidden="1"/>
    </xf>
    <xf numFmtId="3" fontId="9" fillId="0" borderId="74" xfId="15" applyNumberFormat="1" applyFont="1" applyFill="1" applyBorder="1" applyAlignment="1" applyProtection="1">
      <alignment horizontal="center" vertical="center"/>
      <protection locked="0"/>
    </xf>
    <xf numFmtId="4" fontId="9" fillId="0" borderId="70" xfId="15" applyNumberFormat="1" applyFont="1" applyFill="1" applyBorder="1" applyAlignment="1" applyProtection="1">
      <alignment horizontal="center" vertical="center"/>
      <protection locked="0"/>
    </xf>
    <xf numFmtId="44" fontId="9" fillId="0" borderId="70" xfId="16" applyFont="1" applyFill="1" applyBorder="1" applyAlignment="1" applyProtection="1">
      <alignment horizontal="center" vertical="center"/>
      <protection locked="0"/>
    </xf>
    <xf numFmtId="44" fontId="9" fillId="0" borderId="75" xfId="16" applyFont="1" applyFill="1" applyBorder="1" applyAlignment="1" applyProtection="1">
      <alignment horizontal="center" vertical="center"/>
      <protection hidden="1"/>
    </xf>
    <xf numFmtId="0" fontId="9" fillId="0" borderId="84" xfId="15" applyFont="1" applyFill="1" applyBorder="1" applyAlignment="1" applyProtection="1">
      <alignment vertical="center"/>
      <protection hidden="1"/>
    </xf>
    <xf numFmtId="182" fontId="37" fillId="0" borderId="59" xfId="12" applyNumberFormat="1" applyFont="1" applyBorder="1" applyAlignment="1" applyProtection="1">
      <alignment horizontal="right"/>
      <protection hidden="1"/>
    </xf>
    <xf numFmtId="44" fontId="10" fillId="19" borderId="75" xfId="16" applyFont="1" applyFill="1" applyBorder="1" applyAlignment="1" applyProtection="1">
      <alignment horizontal="center" vertical="center"/>
      <protection hidden="1"/>
    </xf>
    <xf numFmtId="44" fontId="10" fillId="19" borderId="81" xfId="16" applyFont="1" applyFill="1" applyBorder="1" applyAlignment="1" applyProtection="1">
      <alignment horizontal="center" vertical="center"/>
      <protection hidden="1"/>
    </xf>
    <xf numFmtId="3" fontId="9" fillId="5" borderId="33" xfId="15" applyNumberFormat="1" applyFont="1" applyFill="1" applyBorder="1" applyAlignment="1" applyProtection="1">
      <alignment horizontal="center" vertical="center"/>
      <protection hidden="1"/>
    </xf>
    <xf numFmtId="3" fontId="9" fillId="5" borderId="1" xfId="15" applyNumberFormat="1" applyFont="1" applyFill="1" applyBorder="1" applyAlignment="1" applyProtection="1">
      <alignment horizontal="center" vertical="center"/>
      <protection hidden="1"/>
    </xf>
    <xf numFmtId="3" fontId="48" fillId="5" borderId="1" xfId="15" applyNumberFormat="1" applyFont="1" applyFill="1" applyBorder="1" applyAlignment="1" applyProtection="1">
      <alignment horizontal="center" vertical="center"/>
      <protection hidden="1"/>
    </xf>
    <xf numFmtId="3" fontId="9" fillId="5" borderId="1" xfId="16" applyNumberFormat="1" applyFont="1" applyFill="1" applyBorder="1" applyAlignment="1" applyProtection="1">
      <alignment horizontal="center" vertical="center"/>
      <protection hidden="1"/>
    </xf>
    <xf numFmtId="3" fontId="11" fillId="5" borderId="1" xfId="15" applyNumberFormat="1" applyFont="1" applyFill="1" applyBorder="1" applyAlignment="1" applyProtection="1">
      <alignment horizontal="center" vertical="center"/>
      <protection hidden="1"/>
    </xf>
    <xf numFmtId="3" fontId="18" fillId="5" borderId="1" xfId="16" applyNumberFormat="1" applyFont="1" applyFill="1" applyBorder="1" applyAlignment="1" applyProtection="1">
      <alignment horizontal="center" vertical="center"/>
      <protection hidden="1"/>
    </xf>
    <xf numFmtId="3" fontId="35" fillId="5" borderId="1" xfId="15" applyNumberFormat="1" applyFont="1" applyFill="1" applyBorder="1" applyAlignment="1" applyProtection="1">
      <alignment horizontal="center" vertical="center"/>
      <protection hidden="1"/>
    </xf>
    <xf numFmtId="164" fontId="28" fillId="17" borderId="1" xfId="9" applyNumberFormat="1" applyFont="1" applyFill="1" applyBorder="1" applyAlignment="1">
      <alignment horizontal="center" vertical="center"/>
    </xf>
    <xf numFmtId="183" fontId="27" fillId="17" borderId="1" xfId="9" applyNumberFormat="1" applyFont="1" applyFill="1" applyBorder="1" applyAlignment="1">
      <alignment horizontal="center" vertical="center"/>
    </xf>
    <xf numFmtId="184" fontId="28" fillId="24" borderId="1" xfId="9" applyNumberFormat="1" applyFont="1" applyFill="1" applyBorder="1" applyAlignment="1">
      <alignment horizontal="center" vertical="center" wrapText="1"/>
    </xf>
    <xf numFmtId="170" fontId="28" fillId="24" borderId="1" xfId="9" applyNumberFormat="1" applyFont="1" applyFill="1" applyBorder="1" applyAlignment="1">
      <alignment horizontal="center" vertical="center"/>
    </xf>
    <xf numFmtId="44" fontId="27" fillId="24" borderId="1" xfId="10" applyFont="1" applyFill="1" applyBorder="1" applyAlignment="1">
      <alignment horizontal="center" vertical="center"/>
    </xf>
    <xf numFmtId="170" fontId="27" fillId="24" borderId="1" xfId="9" applyNumberFormat="1" applyFont="1" applyFill="1" applyBorder="1" applyAlignment="1">
      <alignment horizontal="center" vertical="center"/>
    </xf>
    <xf numFmtId="0" fontId="25" fillId="18" borderId="0" xfId="2" applyFont="1" applyFill="1" applyBorder="1" applyAlignment="1">
      <alignment horizontal="center" vertical="center"/>
    </xf>
    <xf numFmtId="0" fontId="26" fillId="2" borderId="0" xfId="2" applyFont="1" applyFill="1" applyBorder="1" applyAlignment="1">
      <alignment horizontal="center" vertical="center" wrapText="1"/>
    </xf>
    <xf numFmtId="44" fontId="32" fillId="18" borderId="0" xfId="10" applyFont="1" applyFill="1" applyBorder="1" applyAlignment="1">
      <alignment horizontal="center" vertical="center"/>
    </xf>
    <xf numFmtId="0" fontId="25" fillId="18" borderId="5" xfId="2" applyFont="1" applyFill="1" applyBorder="1" applyAlignment="1">
      <alignment vertical="center"/>
    </xf>
    <xf numFmtId="0" fontId="25" fillId="18" borderId="14" xfId="2" applyFont="1" applyFill="1" applyBorder="1" applyAlignment="1">
      <alignment vertical="center"/>
    </xf>
    <xf numFmtId="185" fontId="8" fillId="0" borderId="0" xfId="2" applyNumberFormat="1" applyAlignment="1">
      <alignment horizontal="center" vertical="center"/>
    </xf>
    <xf numFmtId="44" fontId="8" fillId="0" borderId="0" xfId="10" applyFont="1" applyAlignment="1">
      <alignment horizontal="center" vertical="center"/>
    </xf>
    <xf numFmtId="0" fontId="51" fillId="0" borderId="0" xfId="18" applyFont="1" applyFill="1" applyBorder="1"/>
    <xf numFmtId="0" fontId="52" fillId="0" borderId="0" xfId="0" applyFont="1" applyAlignment="1">
      <alignment vertical="center"/>
    </xf>
    <xf numFmtId="0" fontId="53" fillId="0" borderId="0" xfId="0" applyFont="1" applyAlignment="1">
      <alignment horizontal="center" vertical="center"/>
    </xf>
    <xf numFmtId="0" fontId="53" fillId="0" borderId="0" xfId="0" applyFont="1" applyAlignment="1">
      <alignment vertical="center"/>
    </xf>
    <xf numFmtId="0" fontId="54" fillId="25" borderId="92" xfId="0" applyFont="1" applyFill="1" applyBorder="1" applyAlignment="1">
      <alignment vertical="center"/>
    </xf>
    <xf numFmtId="0" fontId="54" fillId="25" borderId="93" xfId="0" applyFont="1" applyFill="1" applyBorder="1" applyAlignment="1">
      <alignment horizontal="center" vertical="center" wrapText="1"/>
    </xf>
    <xf numFmtId="0" fontId="54" fillId="25" borderId="94" xfId="0" applyFont="1" applyFill="1" applyBorder="1" applyAlignment="1">
      <alignment horizontal="center" vertical="center" wrapText="1"/>
    </xf>
    <xf numFmtId="0" fontId="53" fillId="26" borderId="92" xfId="0" applyFont="1" applyFill="1" applyBorder="1" applyAlignment="1">
      <alignment vertical="center"/>
    </xf>
    <xf numFmtId="0" fontId="53" fillId="26" borderId="93" xfId="0" applyFont="1" applyFill="1" applyBorder="1" applyAlignment="1">
      <alignment horizontal="center" vertical="center"/>
    </xf>
    <xf numFmtId="0" fontId="53" fillId="26" borderId="94" xfId="0" applyFont="1" applyFill="1" applyBorder="1" applyAlignment="1">
      <alignment vertical="center" wrapText="1"/>
    </xf>
    <xf numFmtId="0" fontId="53" fillId="0" borderId="92" xfId="0" applyFont="1" applyBorder="1" applyAlignment="1">
      <alignment vertical="center"/>
    </xf>
    <xf numFmtId="0" fontId="53" fillId="0" borderId="93" xfId="0" applyFont="1" applyBorder="1" applyAlignment="1">
      <alignment horizontal="center" vertical="center"/>
    </xf>
    <xf numFmtId="0" fontId="53" fillId="0" borderId="94" xfId="0" applyFont="1" applyBorder="1" applyAlignment="1">
      <alignment vertical="center" wrapText="1"/>
    </xf>
    <xf numFmtId="0" fontId="53" fillId="0" borderId="94" xfId="0" applyFont="1" applyBorder="1" applyAlignment="1">
      <alignment horizontal="center" vertical="center" wrapText="1"/>
    </xf>
    <xf numFmtId="0" fontId="53" fillId="26" borderId="95" xfId="0" applyFont="1" applyFill="1" applyBorder="1" applyAlignment="1">
      <alignment vertical="center"/>
    </xf>
    <xf numFmtId="0" fontId="53" fillId="26" borderId="97" xfId="0" applyFont="1" applyFill="1" applyBorder="1" applyAlignment="1">
      <alignment horizontal="center" vertical="center"/>
    </xf>
    <xf numFmtId="0" fontId="57" fillId="0" borderId="0" xfId="0" applyFont="1" applyAlignment="1">
      <alignment vertical="center"/>
    </xf>
    <xf numFmtId="0" fontId="53" fillId="0" borderId="0" xfId="0" applyFont="1" applyAlignment="1">
      <alignment vertical="top"/>
    </xf>
    <xf numFmtId="0" fontId="53" fillId="0" borderId="0" xfId="0" applyFont="1" applyAlignment="1">
      <alignment horizontal="center" vertical="top"/>
    </xf>
    <xf numFmtId="0" fontId="37" fillId="2" borderId="49" xfId="2" quotePrefix="1" applyFont="1" applyFill="1" applyBorder="1" applyAlignment="1" applyProtection="1">
      <alignment wrapText="1" shrinkToFit="1"/>
      <protection hidden="1"/>
    </xf>
    <xf numFmtId="0" fontId="40" fillId="2" borderId="1" xfId="2" applyFont="1" applyFill="1" applyBorder="1" applyAlignment="1" applyProtection="1">
      <alignment horizontal="center"/>
      <protection hidden="1"/>
    </xf>
    <xf numFmtId="0" fontId="44" fillId="6" borderId="49" xfId="2" applyFont="1" applyFill="1" applyBorder="1" applyAlignment="1" applyProtection="1">
      <alignment horizontal="left" vertical="top" wrapText="1"/>
      <protection locked="0"/>
    </xf>
    <xf numFmtId="0" fontId="44" fillId="6" borderId="14" xfId="2" applyFont="1" applyFill="1" applyBorder="1" applyAlignment="1" applyProtection="1">
      <alignment horizontal="left" vertical="top" wrapText="1"/>
      <protection locked="0"/>
    </xf>
    <xf numFmtId="0" fontId="44" fillId="6" borderId="23" xfId="2" applyFont="1" applyFill="1" applyBorder="1" applyAlignment="1" applyProtection="1">
      <alignment horizontal="left" vertical="top" wrapText="1"/>
      <protection locked="0"/>
    </xf>
    <xf numFmtId="0" fontId="59" fillId="0" borderId="0" xfId="2" applyFont="1" applyProtection="1">
      <protection hidden="1"/>
    </xf>
    <xf numFmtId="0" fontId="60" fillId="0" borderId="0" xfId="2" applyFont="1" applyBorder="1" applyProtection="1">
      <protection hidden="1"/>
    </xf>
    <xf numFmtId="0" fontId="40" fillId="19" borderId="1" xfId="2" applyFont="1" applyFill="1" applyBorder="1" applyAlignment="1" applyProtection="1">
      <alignment wrapText="1"/>
      <protection hidden="1"/>
    </xf>
    <xf numFmtId="170" fontId="37" fillId="5" borderId="1" xfId="9" applyNumberFormat="1" applyFont="1" applyFill="1" applyBorder="1" applyProtection="1">
      <protection hidden="1"/>
    </xf>
    <xf numFmtId="0" fontId="19" fillId="28" borderId="5" xfId="15" applyFont="1" applyFill="1" applyBorder="1" applyAlignment="1" applyProtection="1">
      <alignment horizontal="center" vertical="center" wrapText="1"/>
      <protection hidden="1"/>
    </xf>
    <xf numFmtId="0" fontId="19" fillId="8" borderId="1" xfId="2" applyFont="1" applyFill="1" applyBorder="1" applyAlignment="1" applyProtection="1">
      <alignment horizontal="center" vertical="center" wrapText="1"/>
      <protection hidden="1"/>
    </xf>
    <xf numFmtId="0" fontId="37" fillId="2" borderId="49" xfId="2" applyFont="1" applyFill="1" applyBorder="1" applyAlignment="1" applyProtection="1">
      <alignment horizontal="left"/>
      <protection hidden="1"/>
    </xf>
    <xf numFmtId="0" fontId="37" fillId="2" borderId="4" xfId="2" applyFont="1" applyFill="1" applyBorder="1" applyAlignment="1" applyProtection="1">
      <alignment horizontal="left"/>
      <protection hidden="1"/>
    </xf>
    <xf numFmtId="0" fontId="37" fillId="2" borderId="25" xfId="2" applyFont="1" applyFill="1" applyBorder="1" applyAlignment="1" applyProtection="1">
      <alignment horizontal="left"/>
      <protection hidden="1"/>
    </xf>
    <xf numFmtId="0" fontId="37" fillId="2" borderId="1" xfId="2" applyFont="1" applyFill="1" applyBorder="1" applyAlignment="1" applyProtection="1">
      <alignment horizontal="left"/>
      <protection hidden="1"/>
    </xf>
    <xf numFmtId="0" fontId="37" fillId="2" borderId="43" xfId="2" applyFont="1" applyFill="1" applyBorder="1" applyAlignment="1" applyProtection="1">
      <alignment horizontal="left"/>
      <protection hidden="1"/>
    </xf>
    <xf numFmtId="0" fontId="37" fillId="2" borderId="42" xfId="2" applyFont="1" applyFill="1" applyBorder="1" applyAlignment="1" applyProtection="1">
      <alignment horizontal="left"/>
      <protection hidden="1"/>
    </xf>
    <xf numFmtId="186" fontId="27" fillId="24" borderId="1" xfId="10" applyNumberFormat="1" applyFont="1" applyFill="1" applyBorder="1" applyAlignment="1">
      <alignment horizontal="center" vertical="center"/>
    </xf>
    <xf numFmtId="3" fontId="9" fillId="0" borderId="1" xfId="2" quotePrefix="1" applyNumberFormat="1" applyFont="1" applyBorder="1" applyProtection="1">
      <protection hidden="1"/>
    </xf>
    <xf numFmtId="44" fontId="9" fillId="0" borderId="1" xfId="2" quotePrefix="1" applyNumberFormat="1" applyFont="1" applyBorder="1" applyProtection="1">
      <protection hidden="1"/>
    </xf>
    <xf numFmtId="10" fontId="6" fillId="0" borderId="1" xfId="3" quotePrefix="1" applyNumberFormat="1" applyFont="1" applyBorder="1" applyProtection="1">
      <protection hidden="1"/>
    </xf>
    <xf numFmtId="10" fontId="9" fillId="0" borderId="1" xfId="2" quotePrefix="1" applyNumberFormat="1" applyFont="1" applyBorder="1" applyProtection="1">
      <protection hidden="1"/>
    </xf>
    <xf numFmtId="44" fontId="9" fillId="0" borderId="1" xfId="10" quotePrefix="1" applyFont="1" applyBorder="1" applyProtection="1">
      <protection hidden="1"/>
    </xf>
    <xf numFmtId="44" fontId="10" fillId="8" borderId="1" xfId="10" applyFont="1" applyFill="1" applyBorder="1" applyProtection="1">
      <protection hidden="1"/>
    </xf>
    <xf numFmtId="185" fontId="37" fillId="0" borderId="57" xfId="12" applyNumberFormat="1" applyFont="1" applyBorder="1" applyAlignment="1" applyProtection="1">
      <alignment horizontal="right"/>
      <protection hidden="1"/>
    </xf>
    <xf numFmtId="0" fontId="61" fillId="0" borderId="0" xfId="2" applyFont="1" applyAlignment="1">
      <alignment horizontal="center"/>
    </xf>
    <xf numFmtId="0" fontId="62" fillId="0" borderId="0" xfId="0" applyFont="1" applyAlignment="1">
      <alignment horizontal="center"/>
    </xf>
    <xf numFmtId="44" fontId="27" fillId="17" borderId="1" xfId="10" applyNumberFormat="1" applyFont="1" applyFill="1" applyBorder="1" applyAlignment="1">
      <alignment horizontal="center" vertical="center"/>
    </xf>
    <xf numFmtId="0" fontId="37" fillId="2" borderId="62" xfId="2" applyFont="1" applyFill="1" applyBorder="1" applyAlignment="1" applyProtection="1">
      <alignment shrinkToFit="1"/>
      <protection hidden="1"/>
    </xf>
    <xf numFmtId="44" fontId="37" fillId="0" borderId="98" xfId="10" applyFont="1" applyBorder="1" applyAlignment="1" applyProtection="1">
      <alignment horizontal="right"/>
      <protection hidden="1"/>
    </xf>
    <xf numFmtId="44" fontId="37" fillId="19" borderId="98" xfId="10" applyFont="1" applyFill="1" applyBorder="1" applyAlignment="1" applyProtection="1">
      <alignment horizontal="right"/>
      <protection hidden="1"/>
    </xf>
    <xf numFmtId="9" fontId="9" fillId="0" borderId="1" xfId="2" quotePrefix="1" applyNumberFormat="1" applyFont="1" applyBorder="1" applyAlignment="1" applyProtection="1">
      <alignment horizontal="center"/>
      <protection hidden="1"/>
    </xf>
    <xf numFmtId="10" fontId="10" fillId="8" borderId="1" xfId="20" applyNumberFormat="1" applyFont="1" applyFill="1" applyBorder="1" applyProtection="1">
      <protection hidden="1"/>
    </xf>
    <xf numFmtId="9" fontId="10" fillId="8" borderId="1" xfId="20" applyFont="1" applyFill="1" applyBorder="1" applyAlignment="1" applyProtection="1">
      <alignment horizontal="center"/>
      <protection hidden="1"/>
    </xf>
    <xf numFmtId="9" fontId="9" fillId="0" borderId="24" xfId="4" applyFont="1" applyBorder="1" applyAlignment="1" applyProtection="1">
      <alignment horizontal="right"/>
      <protection hidden="1"/>
    </xf>
    <xf numFmtId="44" fontId="9" fillId="0" borderId="2" xfId="3" applyFont="1" applyBorder="1" applyAlignment="1" applyProtection="1">
      <alignment horizontal="right"/>
      <protection hidden="1"/>
    </xf>
    <xf numFmtId="0" fontId="63" fillId="0" borderId="0" xfId="0" applyFont="1"/>
    <xf numFmtId="0" fontId="63" fillId="0" borderId="0" xfId="0" quotePrefix="1" applyFont="1"/>
    <xf numFmtId="0" fontId="37" fillId="0" borderId="0" xfId="21" applyFont="1"/>
    <xf numFmtId="0" fontId="64" fillId="0" borderId="0" xfId="18" applyFont="1" applyAlignment="1">
      <alignment vertical="center"/>
    </xf>
    <xf numFmtId="0" fontId="65" fillId="0" borderId="0" xfId="21" applyFont="1" applyBorder="1"/>
    <xf numFmtId="0" fontId="37" fillId="0" borderId="0" xfId="21" applyFont="1" applyBorder="1"/>
    <xf numFmtId="164" fontId="37" fillId="0" borderId="0" xfId="22" applyFont="1" applyBorder="1"/>
    <xf numFmtId="187" fontId="37" fillId="0" borderId="0" xfId="23" applyFont="1" applyBorder="1"/>
    <xf numFmtId="0" fontId="67" fillId="29" borderId="40" xfId="21" applyFont="1" applyFill="1" applyBorder="1" applyAlignment="1">
      <alignment horizontal="justify" vertical="center"/>
    </xf>
    <xf numFmtId="0" fontId="67" fillId="29" borderId="39" xfId="21" applyFont="1" applyFill="1" applyBorder="1" applyAlignment="1">
      <alignment horizontal="justify" vertical="center"/>
    </xf>
    <xf numFmtId="0" fontId="67" fillId="30" borderId="39" xfId="21" applyFont="1" applyFill="1" applyBorder="1" applyAlignment="1">
      <alignment horizontal="center" vertical="center"/>
    </xf>
    <xf numFmtId="0" fontId="67" fillId="31" borderId="38" xfId="21" applyFont="1" applyFill="1" applyBorder="1" applyAlignment="1">
      <alignment horizontal="center" vertical="center"/>
    </xf>
    <xf numFmtId="0" fontId="67" fillId="31" borderId="37" xfId="21" applyFont="1" applyFill="1" applyBorder="1" applyAlignment="1">
      <alignment horizontal="justify" vertical="center"/>
    </xf>
    <xf numFmtId="0" fontId="67" fillId="31" borderId="37" xfId="21" applyFont="1" applyFill="1" applyBorder="1" applyAlignment="1">
      <alignment horizontal="center" vertical="center"/>
    </xf>
    <xf numFmtId="2" fontId="67" fillId="31" borderId="37" xfId="21" applyNumberFormat="1" applyFont="1" applyFill="1" applyBorder="1" applyAlignment="1">
      <alignment horizontal="center" vertical="center"/>
    </xf>
    <xf numFmtId="0" fontId="67" fillId="31" borderId="36" xfId="21" applyFont="1" applyFill="1" applyBorder="1" applyAlignment="1">
      <alignment horizontal="left" vertical="center"/>
    </xf>
    <xf numFmtId="187" fontId="67" fillId="0" borderId="35" xfId="23" applyFont="1" applyFill="1" applyBorder="1"/>
    <xf numFmtId="0" fontId="67" fillId="31" borderId="25" xfId="21" applyFont="1" applyFill="1" applyBorder="1" applyAlignment="1">
      <alignment horizontal="center" vertical="center"/>
    </xf>
    <xf numFmtId="0" fontId="67" fillId="31" borderId="1" xfId="21" applyFont="1" applyFill="1" applyBorder="1" applyAlignment="1">
      <alignment horizontal="justify" vertical="center"/>
    </xf>
    <xf numFmtId="0" fontId="67" fillId="31" borderId="1" xfId="21" applyFont="1" applyFill="1" applyBorder="1" applyAlignment="1">
      <alignment horizontal="center" vertical="center"/>
    </xf>
    <xf numFmtId="2" fontId="67" fillId="31" borderId="1" xfId="21" applyNumberFormat="1" applyFont="1" applyFill="1" applyBorder="1" applyAlignment="1">
      <alignment horizontal="center" vertical="center"/>
    </xf>
    <xf numFmtId="0" fontId="67" fillId="31" borderId="5" xfId="21" applyFont="1" applyFill="1" applyBorder="1" applyAlignment="1">
      <alignment horizontal="left" vertical="center"/>
    </xf>
    <xf numFmtId="187" fontId="67" fillId="0" borderId="24" xfId="23" applyFont="1" applyFill="1" applyBorder="1"/>
    <xf numFmtId="188" fontId="66" fillId="9" borderId="25" xfId="22" applyNumberFormat="1" applyFont="1" applyFill="1" applyBorder="1" applyAlignment="1">
      <alignment horizontal="right"/>
    </xf>
    <xf numFmtId="0" fontId="37" fillId="0" borderId="0" xfId="21" quotePrefix="1" applyFont="1"/>
    <xf numFmtId="0" fontId="67" fillId="31" borderId="43" xfId="21" applyFont="1" applyFill="1" applyBorder="1" applyAlignment="1">
      <alignment horizontal="center" vertical="center"/>
    </xf>
    <xf numFmtId="0" fontId="67" fillId="31" borderId="42" xfId="21" applyFont="1" applyFill="1" applyBorder="1" applyAlignment="1">
      <alignment horizontal="justify" vertical="center"/>
    </xf>
    <xf numFmtId="0" fontId="67" fillId="31" borderId="42" xfId="21" applyFont="1" applyFill="1" applyBorder="1" applyAlignment="1">
      <alignment horizontal="center" vertical="center"/>
    </xf>
    <xf numFmtId="2" fontId="67" fillId="31" borderId="42" xfId="21" applyNumberFormat="1" applyFont="1" applyFill="1" applyBorder="1" applyAlignment="1">
      <alignment horizontal="center" vertical="center"/>
    </xf>
    <xf numFmtId="0" fontId="67" fillId="31" borderId="99" xfId="21" applyFont="1" applyFill="1" applyBorder="1" applyAlignment="1">
      <alignment horizontal="left" vertical="center"/>
    </xf>
    <xf numFmtId="187" fontId="67" fillId="0" borderId="2" xfId="23" applyFont="1" applyFill="1" applyBorder="1"/>
    <xf numFmtId="0" fontId="68" fillId="0" borderId="0" xfId="21" applyFont="1"/>
    <xf numFmtId="0" fontId="69" fillId="0" borderId="0" xfId="21" applyFont="1" applyAlignment="1">
      <alignment vertical="top" wrapText="1"/>
    </xf>
    <xf numFmtId="0" fontId="21" fillId="0" borderId="0" xfId="0" applyFont="1"/>
    <xf numFmtId="0" fontId="53" fillId="0" borderId="0" xfId="0" applyFont="1"/>
    <xf numFmtId="0" fontId="57" fillId="0" borderId="0" xfId="0" applyFont="1"/>
    <xf numFmtId="0" fontId="57" fillId="0" borderId="0" xfId="0" applyFont="1" applyAlignment="1">
      <alignment horizontal="center"/>
    </xf>
    <xf numFmtId="0" fontId="53" fillId="0" borderId="0" xfId="0" quotePrefix="1" applyFont="1"/>
    <xf numFmtId="0" fontId="21" fillId="0" borderId="0" xfId="0" applyFont="1" applyAlignment="1">
      <alignment vertical="top" wrapText="1"/>
    </xf>
    <xf numFmtId="0" fontId="53" fillId="0" borderId="0" xfId="0" applyFont="1" applyAlignment="1">
      <alignment vertical="top" wrapText="1"/>
    </xf>
    <xf numFmtId="0" fontId="15" fillId="0" borderId="0" xfId="1" applyFont="1" applyAlignment="1">
      <alignment horizontal="justify" vertical="top"/>
    </xf>
    <xf numFmtId="0" fontId="15" fillId="0" borderId="0" xfId="1" applyFont="1" applyAlignment="1">
      <alignment horizontal="left" vertical="top" wrapText="1"/>
    </xf>
    <xf numFmtId="0" fontId="5" fillId="0" borderId="0" xfId="1" applyAlignment="1">
      <alignment vertical="top"/>
    </xf>
    <xf numFmtId="0" fontId="6" fillId="0" borderId="0" xfId="1" applyFont="1" applyAlignment="1">
      <alignment horizontal="justify" vertical="top"/>
    </xf>
    <xf numFmtId="0" fontId="70" fillId="0" borderId="0" xfId="1" applyFont="1" applyAlignment="1">
      <alignment horizontal="justify" vertical="top"/>
    </xf>
    <xf numFmtId="0" fontId="71" fillId="0" borderId="0" xfId="1" applyFont="1" applyFill="1" applyAlignment="1">
      <alignment horizontal="justify" vertical="top" wrapText="1"/>
    </xf>
    <xf numFmtId="0" fontId="17" fillId="0" borderId="0" xfId="1" quotePrefix="1" applyFont="1" applyAlignment="1">
      <alignment horizontal="justify" vertical="top"/>
    </xf>
    <xf numFmtId="0" fontId="17" fillId="0" borderId="0" xfId="1" applyFont="1" applyAlignment="1">
      <alignment horizontal="justify" vertical="top"/>
    </xf>
    <xf numFmtId="0" fontId="30" fillId="0" borderId="0" xfId="1" quotePrefix="1" applyFont="1" applyAlignment="1">
      <alignment horizontal="justify" vertical="top"/>
    </xf>
    <xf numFmtId="1" fontId="13" fillId="7" borderId="0" xfId="15" applyNumberFormat="1" applyFont="1" applyFill="1" applyBorder="1" applyAlignment="1" applyProtection="1">
      <alignment horizontal="center" vertical="center"/>
      <protection locked="0"/>
    </xf>
    <xf numFmtId="188" fontId="66" fillId="0" borderId="38" xfId="22" applyNumberFormat="1" applyFont="1" applyFill="1" applyBorder="1" applyAlignment="1">
      <alignment horizontal="right"/>
    </xf>
    <xf numFmtId="188" fontId="66" fillId="0" borderId="25" xfId="22" applyNumberFormat="1" applyFont="1" applyFill="1" applyBorder="1" applyAlignment="1">
      <alignment horizontal="right"/>
    </xf>
    <xf numFmtId="0" fontId="61" fillId="19" borderId="1" xfId="2" applyFont="1" applyFill="1" applyBorder="1" applyAlignment="1">
      <alignment horizontal="center"/>
    </xf>
    <xf numFmtId="0" fontId="73" fillId="19" borderId="1" xfId="2" applyFont="1" applyFill="1" applyBorder="1" applyAlignment="1">
      <alignment horizontal="center"/>
    </xf>
    <xf numFmtId="0" fontId="74" fillId="19" borderId="1" xfId="2" applyFont="1" applyFill="1" applyBorder="1" applyAlignment="1">
      <alignment horizontal="center" vertical="center"/>
    </xf>
    <xf numFmtId="0" fontId="75" fillId="0" borderId="0" xfId="0" applyFont="1" applyAlignment="1">
      <alignment horizontal="center"/>
    </xf>
    <xf numFmtId="0" fontId="76" fillId="0" borderId="0" xfId="0" applyFont="1"/>
    <xf numFmtId="188" fontId="66" fillId="0" borderId="43" xfId="22" applyNumberFormat="1" applyFont="1" applyFill="1" applyBorder="1" applyAlignment="1">
      <alignment horizontal="right"/>
    </xf>
    <xf numFmtId="0" fontId="53" fillId="32" borderId="92" xfId="0" applyFont="1" applyFill="1" applyBorder="1" applyAlignment="1">
      <alignment vertical="center"/>
    </xf>
    <xf numFmtId="0" fontId="53" fillId="32" borderId="93" xfId="0" applyFont="1" applyFill="1" applyBorder="1" applyAlignment="1">
      <alignment horizontal="center" vertical="center"/>
    </xf>
    <xf numFmtId="0" fontId="53" fillId="32" borderId="94" xfId="0" applyFont="1" applyFill="1" applyBorder="1" applyAlignment="1">
      <alignment vertical="center" wrapText="1"/>
    </xf>
    <xf numFmtId="0" fontId="53" fillId="32" borderId="94" xfId="0" applyFont="1" applyFill="1" applyBorder="1" applyAlignment="1">
      <alignment horizontal="center" vertical="center" wrapText="1"/>
    </xf>
    <xf numFmtId="0" fontId="53" fillId="32" borderId="95" xfId="0" applyFont="1" applyFill="1" applyBorder="1" applyAlignment="1">
      <alignment vertical="center"/>
    </xf>
    <xf numFmtId="0" fontId="53" fillId="32" borderId="96" xfId="0" applyFont="1" applyFill="1" applyBorder="1" applyAlignment="1">
      <alignment horizontal="center" vertical="center"/>
    </xf>
    <xf numFmtId="0" fontId="53" fillId="32" borderId="97" xfId="0" applyFont="1" applyFill="1" applyBorder="1" applyAlignment="1">
      <alignment vertical="center" wrapText="1"/>
    </xf>
    <xf numFmtId="164" fontId="8" fillId="0" borderId="0" xfId="9" applyFont="1" applyAlignment="1">
      <alignment horizontal="center" vertical="center"/>
    </xf>
    <xf numFmtId="0" fontId="0" fillId="0" borderId="0" xfId="0" applyAlignment="1">
      <alignment horizontal="center"/>
    </xf>
    <xf numFmtId="0" fontId="23" fillId="0" borderId="0" xfId="0" applyFont="1" applyAlignment="1">
      <alignment horizontal="center"/>
    </xf>
    <xf numFmtId="0" fontId="22" fillId="0" borderId="0" xfId="0" applyFont="1" applyAlignment="1">
      <alignment horizontal="center"/>
    </xf>
    <xf numFmtId="0" fontId="0" fillId="0" borderId="0" xfId="0" applyAlignment="1">
      <alignment horizontal="center" wrapText="1"/>
    </xf>
    <xf numFmtId="0" fontId="53" fillId="0" borderId="0" xfId="0" quotePrefix="1" applyFont="1" applyAlignment="1">
      <alignment horizontal="left" vertical="top"/>
    </xf>
    <xf numFmtId="0" fontId="25" fillId="2" borderId="5" xfId="2" applyFont="1" applyFill="1" applyBorder="1" applyAlignment="1">
      <alignment horizontal="center" vertical="center"/>
    </xf>
    <xf numFmtId="0" fontId="25" fillId="2" borderId="14" xfId="2" applyFont="1" applyFill="1" applyBorder="1" applyAlignment="1">
      <alignment horizontal="center" vertical="center"/>
    </xf>
    <xf numFmtId="0" fontId="25" fillId="2" borderId="4" xfId="2" applyFont="1" applyFill="1" applyBorder="1" applyAlignment="1">
      <alignment horizontal="center" vertical="center"/>
    </xf>
    <xf numFmtId="0" fontId="25" fillId="24" borderId="5" xfId="2" applyFont="1" applyFill="1" applyBorder="1" applyAlignment="1">
      <alignment horizontal="center" vertical="center"/>
    </xf>
    <xf numFmtId="0" fontId="25" fillId="24" borderId="14" xfId="2" applyFont="1" applyFill="1" applyBorder="1" applyAlignment="1">
      <alignment horizontal="center" vertical="center"/>
    </xf>
    <xf numFmtId="0" fontId="25" fillId="24" borderId="4" xfId="2" applyFont="1" applyFill="1" applyBorder="1" applyAlignment="1">
      <alignment horizontal="center" vertical="center"/>
    </xf>
    <xf numFmtId="0" fontId="25" fillId="17" borderId="5" xfId="2" applyFont="1" applyFill="1" applyBorder="1" applyAlignment="1">
      <alignment horizontal="center" vertical="center"/>
    </xf>
    <xf numFmtId="0" fontId="25" fillId="17" borderId="14" xfId="2" applyFont="1" applyFill="1" applyBorder="1" applyAlignment="1">
      <alignment horizontal="center" vertical="center"/>
    </xf>
    <xf numFmtId="0" fontId="25" fillId="17" borderId="4" xfId="2" applyFont="1" applyFill="1" applyBorder="1" applyAlignment="1">
      <alignment horizontal="center" vertical="center"/>
    </xf>
    <xf numFmtId="187" fontId="66" fillId="0" borderId="62" xfId="23" applyFont="1" applyFill="1" applyBorder="1" applyAlignment="1">
      <alignment horizontal="center" wrapText="1"/>
    </xf>
    <xf numFmtId="187" fontId="66" fillId="0" borderId="46" xfId="23" applyFont="1" applyFill="1" applyBorder="1" applyAlignment="1">
      <alignment horizontal="center" wrapText="1"/>
    </xf>
    <xf numFmtId="0" fontId="67" fillId="30" borderId="45" xfId="21" applyFont="1" applyFill="1" applyBorder="1" applyAlignment="1">
      <alignment horizontal="center" vertical="center"/>
    </xf>
    <xf numFmtId="0" fontId="67" fillId="30" borderId="46" xfId="21" applyFont="1" applyFill="1" applyBorder="1" applyAlignment="1">
      <alignment horizontal="center" vertical="center"/>
    </xf>
    <xf numFmtId="0" fontId="67" fillId="30" borderId="62" xfId="21" applyFont="1" applyFill="1" applyBorder="1" applyAlignment="1">
      <alignment horizontal="center" vertical="center" wrapText="1"/>
    </xf>
    <xf numFmtId="0" fontId="67" fillId="30" borderId="46" xfId="21" applyFont="1" applyFill="1" applyBorder="1" applyAlignment="1">
      <alignment horizontal="center" vertical="center" wrapText="1"/>
    </xf>
    <xf numFmtId="0" fontId="69" fillId="0" borderId="0" xfId="21" applyFont="1" applyAlignment="1">
      <alignment horizontal="left" vertical="top" wrapText="1"/>
    </xf>
    <xf numFmtId="0" fontId="53" fillId="0" borderId="0" xfId="0" applyFont="1" applyAlignment="1">
      <alignment horizontal="left" vertical="top" wrapText="1"/>
    </xf>
    <xf numFmtId="0" fontId="53" fillId="0" borderId="0" xfId="0" applyFont="1" applyAlignment="1">
      <alignment horizontal="left" vertical="center" wrapText="1"/>
    </xf>
    <xf numFmtId="0" fontId="15" fillId="0" borderId="0" xfId="2" applyFont="1" applyAlignment="1" applyProtection="1">
      <alignment horizontal="left"/>
      <protection hidden="1"/>
    </xf>
    <xf numFmtId="0" fontId="34" fillId="6" borderId="10" xfId="2" applyFont="1" applyFill="1" applyBorder="1" applyAlignment="1" applyProtection="1">
      <alignment horizontal="center"/>
      <protection locked="0"/>
    </xf>
    <xf numFmtId="0" fontId="34" fillId="6" borderId="0" xfId="2" applyFont="1" applyFill="1" applyBorder="1" applyAlignment="1" applyProtection="1">
      <alignment horizontal="center"/>
      <protection locked="0"/>
    </xf>
    <xf numFmtId="0" fontId="34" fillId="6" borderId="9" xfId="2" applyFont="1" applyFill="1" applyBorder="1" applyAlignment="1" applyProtection="1">
      <alignment horizontal="center"/>
      <protection locked="0"/>
    </xf>
    <xf numFmtId="0" fontId="7" fillId="2" borderId="13" xfId="2" applyFont="1" applyFill="1" applyBorder="1" applyAlignment="1" applyProtection="1">
      <alignment horizontal="left"/>
      <protection hidden="1"/>
    </xf>
    <xf numFmtId="0" fontId="7" fillId="2" borderId="12" xfId="2" applyFont="1" applyFill="1" applyBorder="1" applyAlignment="1" applyProtection="1">
      <alignment horizontal="left"/>
      <protection hidden="1"/>
    </xf>
    <xf numFmtId="0" fontId="7" fillId="2" borderId="11" xfId="2" applyFont="1" applyFill="1" applyBorder="1" applyAlignment="1" applyProtection="1">
      <alignment horizontal="left"/>
      <protection hidden="1"/>
    </xf>
    <xf numFmtId="0" fontId="10" fillId="6" borderId="10" xfId="2" applyFont="1" applyFill="1" applyBorder="1" applyAlignment="1" applyProtection="1">
      <alignment horizontal="center"/>
      <protection locked="0"/>
    </xf>
    <xf numFmtId="0" fontId="10" fillId="6" borderId="0" xfId="2" applyFont="1" applyFill="1" applyBorder="1" applyAlignment="1" applyProtection="1">
      <alignment horizontal="center"/>
      <protection locked="0"/>
    </xf>
    <xf numFmtId="0" fontId="10" fillId="6" borderId="9" xfId="2" applyFont="1" applyFill="1" applyBorder="1" applyAlignment="1" applyProtection="1">
      <alignment horizontal="center"/>
      <protection locked="0"/>
    </xf>
    <xf numFmtId="0" fontId="9" fillId="0" borderId="5" xfId="2" applyFont="1" applyBorder="1" applyAlignment="1" applyProtection="1">
      <alignment horizontal="center"/>
      <protection hidden="1"/>
    </xf>
    <xf numFmtId="0" fontId="9" fillId="0" borderId="4" xfId="2" applyFont="1" applyBorder="1" applyAlignment="1" applyProtection="1">
      <alignment horizontal="center"/>
      <protection hidden="1"/>
    </xf>
    <xf numFmtId="173" fontId="9" fillId="0" borderId="5" xfId="2" applyNumberFormat="1" applyFont="1" applyBorder="1" applyAlignment="1" applyProtection="1">
      <alignment horizontal="center"/>
      <protection hidden="1"/>
    </xf>
    <xf numFmtId="173" fontId="9" fillId="0" borderId="4" xfId="2" applyNumberFormat="1" applyFont="1" applyBorder="1" applyAlignment="1" applyProtection="1">
      <alignment horizontal="center"/>
      <protection hidden="1"/>
    </xf>
    <xf numFmtId="174" fontId="9" fillId="0" borderId="5" xfId="2" applyNumberFormat="1" applyFont="1" applyBorder="1" applyAlignment="1" applyProtection="1">
      <alignment horizontal="center"/>
      <protection hidden="1"/>
    </xf>
    <xf numFmtId="174" fontId="9" fillId="0" borderId="4" xfId="2" applyNumberFormat="1" applyFont="1" applyBorder="1" applyAlignment="1" applyProtection="1">
      <alignment horizontal="center"/>
      <protection hidden="1"/>
    </xf>
    <xf numFmtId="165" fontId="9" fillId="0" borderId="5" xfId="3" applyNumberFormat="1" applyFont="1" applyBorder="1" applyAlignment="1" applyProtection="1">
      <alignment horizontal="center"/>
      <protection hidden="1"/>
    </xf>
    <xf numFmtId="165" fontId="9" fillId="0" borderId="4" xfId="3" applyNumberFormat="1" applyFont="1" applyBorder="1" applyAlignment="1" applyProtection="1">
      <alignment horizontal="center"/>
      <protection hidden="1"/>
    </xf>
    <xf numFmtId="0" fontId="10" fillId="6" borderId="8" xfId="2" applyFont="1" applyFill="1" applyBorder="1" applyAlignment="1" applyProtection="1">
      <alignment horizontal="center"/>
      <protection locked="0"/>
    </xf>
    <xf numFmtId="0" fontId="10" fillId="6" borderId="7" xfId="2" applyFont="1" applyFill="1" applyBorder="1" applyAlignment="1" applyProtection="1">
      <alignment horizontal="center"/>
      <protection locked="0"/>
    </xf>
    <xf numFmtId="0" fontId="10" fillId="6" borderId="6" xfId="2" applyFont="1" applyFill="1" applyBorder="1" applyAlignment="1" applyProtection="1">
      <alignment horizontal="center"/>
      <protection locked="0"/>
    </xf>
    <xf numFmtId="0" fontId="9" fillId="2" borderId="1" xfId="2" applyFont="1" applyFill="1" applyBorder="1" applyAlignment="1" applyProtection="1">
      <alignment horizontal="left"/>
      <protection hidden="1"/>
    </xf>
    <xf numFmtId="0" fontId="9" fillId="4" borderId="1" xfId="5" applyFont="1" applyFill="1" applyBorder="1" applyAlignment="1" applyProtection="1">
      <alignment horizontal="left"/>
      <protection hidden="1"/>
    </xf>
    <xf numFmtId="0" fontId="7" fillId="2" borderId="1" xfId="2" applyFont="1" applyFill="1" applyBorder="1" applyAlignment="1" applyProtection="1">
      <alignment horizontal="left"/>
      <protection hidden="1"/>
    </xf>
    <xf numFmtId="0" fontId="10" fillId="2" borderId="5" xfId="2" applyFont="1" applyFill="1" applyBorder="1" applyAlignment="1" applyProtection="1">
      <alignment horizontal="center"/>
      <protection hidden="1"/>
    </xf>
    <xf numFmtId="0" fontId="10" fillId="2" borderId="4" xfId="2" applyFont="1" applyFill="1" applyBorder="1" applyAlignment="1" applyProtection="1">
      <alignment horizontal="center"/>
      <protection hidden="1"/>
    </xf>
    <xf numFmtId="0" fontId="14" fillId="0" borderId="1" xfId="2" applyFont="1" applyBorder="1" applyAlignment="1" applyProtection="1">
      <alignment horizontal="left"/>
      <protection hidden="1"/>
    </xf>
    <xf numFmtId="0" fontId="9" fillId="0" borderId="1" xfId="2" applyFont="1" applyBorder="1" applyAlignment="1" applyProtection="1">
      <alignment horizontal="left"/>
      <protection hidden="1"/>
    </xf>
    <xf numFmtId="3" fontId="9" fillId="0" borderId="1" xfId="2" applyNumberFormat="1" applyFont="1" applyBorder="1" applyAlignment="1" applyProtection="1">
      <alignment horizontal="left"/>
      <protection hidden="1"/>
    </xf>
    <xf numFmtId="165" fontId="9" fillId="0" borderId="5" xfId="3" applyNumberFormat="1" applyFont="1" applyBorder="1" applyAlignment="1" applyProtection="1">
      <alignment horizontal="center" wrapText="1"/>
      <protection hidden="1"/>
    </xf>
    <xf numFmtId="165" fontId="9" fillId="0" borderId="14" xfId="3" applyNumberFormat="1" applyFont="1" applyBorder="1" applyAlignment="1" applyProtection="1">
      <alignment horizontal="center" wrapText="1"/>
      <protection hidden="1"/>
    </xf>
    <xf numFmtId="165" fontId="9" fillId="0" borderId="4" xfId="3" applyNumberFormat="1" applyFont="1" applyBorder="1" applyAlignment="1" applyProtection="1">
      <alignment horizontal="center" wrapText="1"/>
      <protection hidden="1"/>
    </xf>
    <xf numFmtId="0" fontId="10" fillId="0" borderId="40" xfId="2" applyFont="1" applyBorder="1" applyAlignment="1" applyProtection="1">
      <alignment horizontal="left"/>
      <protection hidden="1"/>
    </xf>
    <xf numFmtId="0" fontId="10" fillId="0" borderId="39" xfId="2" applyFont="1" applyBorder="1" applyAlignment="1" applyProtection="1">
      <alignment horizontal="left"/>
      <protection hidden="1"/>
    </xf>
    <xf numFmtId="0" fontId="10" fillId="0" borderId="3" xfId="2" applyFont="1" applyBorder="1" applyAlignment="1" applyProtection="1">
      <alignment horizontal="left"/>
      <protection hidden="1"/>
    </xf>
    <xf numFmtId="0" fontId="10" fillId="0" borderId="40" xfId="2" applyFont="1" applyFill="1" applyBorder="1" applyAlignment="1" applyProtection="1">
      <alignment horizontal="left"/>
      <protection hidden="1"/>
    </xf>
    <xf numFmtId="0" fontId="10" fillId="0" borderId="39" xfId="2" applyFont="1" applyFill="1" applyBorder="1" applyAlignment="1" applyProtection="1">
      <alignment horizontal="left"/>
      <protection hidden="1"/>
    </xf>
    <xf numFmtId="0" fontId="10" fillId="0" borderId="3" xfId="2" applyFont="1" applyFill="1" applyBorder="1" applyAlignment="1" applyProtection="1">
      <alignment horizontal="left"/>
      <protection hidden="1"/>
    </xf>
    <xf numFmtId="0" fontId="10" fillId="2" borderId="1" xfId="2" applyFont="1" applyFill="1" applyBorder="1" applyAlignment="1" applyProtection="1">
      <alignment horizontal="center"/>
      <protection hidden="1"/>
    </xf>
    <xf numFmtId="0" fontId="15" fillId="7" borderId="0" xfId="2" applyFont="1" applyFill="1" applyAlignment="1" applyProtection="1">
      <alignment horizontal="left"/>
      <protection hidden="1"/>
    </xf>
    <xf numFmtId="0" fontId="10" fillId="8" borderId="1" xfId="2" applyFont="1" applyFill="1" applyBorder="1" applyAlignment="1" applyProtection="1">
      <alignment horizontal="center" vertical="center" wrapText="1"/>
      <protection hidden="1"/>
    </xf>
    <xf numFmtId="0" fontId="19" fillId="8" borderId="1" xfId="2" applyFont="1" applyFill="1" applyBorder="1" applyAlignment="1" applyProtection="1">
      <alignment horizontal="center" vertical="center" wrapText="1"/>
      <protection hidden="1"/>
    </xf>
    <xf numFmtId="0" fontId="10" fillId="8" borderId="5" xfId="2" applyFont="1" applyFill="1" applyBorder="1" applyAlignment="1" applyProtection="1">
      <alignment horizontal="center" vertical="center" wrapText="1"/>
      <protection hidden="1"/>
    </xf>
    <xf numFmtId="0" fontId="10" fillId="8" borderId="4" xfId="2" applyFont="1" applyFill="1" applyBorder="1" applyAlignment="1" applyProtection="1">
      <alignment horizontal="center" vertical="center" wrapText="1"/>
      <protection hidden="1"/>
    </xf>
    <xf numFmtId="0" fontId="37" fillId="0" borderId="1" xfId="2" applyFont="1" applyBorder="1" applyAlignment="1" applyProtection="1">
      <alignment horizontal="left"/>
      <protection hidden="1"/>
    </xf>
    <xf numFmtId="0" fontId="37" fillId="0" borderId="24" xfId="2" applyFont="1" applyBorder="1" applyAlignment="1" applyProtection="1">
      <alignment horizontal="left"/>
      <protection hidden="1"/>
    </xf>
    <xf numFmtId="0" fontId="38" fillId="0" borderId="0" xfId="2" applyFont="1" applyAlignment="1" applyProtection="1">
      <alignment horizontal="left"/>
      <protection hidden="1"/>
    </xf>
    <xf numFmtId="0" fontId="41" fillId="2" borderId="48" xfId="2" applyFont="1" applyFill="1" applyBorder="1" applyAlignment="1" applyProtection="1">
      <alignment horizontal="left"/>
      <protection hidden="1"/>
    </xf>
    <xf numFmtId="0" fontId="41" fillId="2" borderId="52" xfId="2" applyFont="1" applyFill="1" applyBorder="1" applyAlignment="1" applyProtection="1">
      <alignment horizontal="left"/>
      <protection hidden="1"/>
    </xf>
    <xf numFmtId="0" fontId="41" fillId="2" borderId="51" xfId="2" applyFont="1" applyFill="1" applyBorder="1" applyAlignment="1" applyProtection="1">
      <alignment horizontal="left"/>
      <protection hidden="1"/>
    </xf>
    <xf numFmtId="0" fontId="42" fillId="0" borderId="1" xfId="2" applyFont="1" applyBorder="1" applyAlignment="1" applyProtection="1">
      <alignment horizontal="left" vertical="top" wrapText="1"/>
      <protection hidden="1"/>
    </xf>
    <xf numFmtId="0" fontId="42" fillId="0" borderId="24" xfId="2" applyFont="1" applyBorder="1" applyAlignment="1" applyProtection="1">
      <alignment horizontal="left" vertical="top" wrapText="1"/>
      <protection hidden="1"/>
    </xf>
    <xf numFmtId="0" fontId="44" fillId="6" borderId="49" xfId="2" applyFont="1" applyFill="1" applyBorder="1" applyAlignment="1" applyProtection="1">
      <alignment horizontal="left" vertical="top" wrapText="1"/>
      <protection locked="0"/>
    </xf>
    <xf numFmtId="0" fontId="44" fillId="6" borderId="14" xfId="2" applyFont="1" applyFill="1" applyBorder="1" applyAlignment="1" applyProtection="1">
      <alignment horizontal="left" vertical="top" wrapText="1"/>
      <protection locked="0"/>
    </xf>
    <xf numFmtId="0" fontId="44" fillId="6" borderId="23" xfId="2" applyFont="1" applyFill="1" applyBorder="1" applyAlignment="1" applyProtection="1">
      <alignment horizontal="left" vertical="top" wrapText="1"/>
      <protection locked="0"/>
    </xf>
    <xf numFmtId="0" fontId="37" fillId="0" borderId="42" xfId="2" applyFont="1" applyBorder="1" applyAlignment="1" applyProtection="1">
      <alignment horizontal="left"/>
      <protection hidden="1"/>
    </xf>
    <xf numFmtId="0" fontId="37" fillId="0" borderId="2" xfId="2" applyFont="1" applyBorder="1" applyAlignment="1" applyProtection="1">
      <alignment horizontal="left"/>
      <protection hidden="1"/>
    </xf>
    <xf numFmtId="0" fontId="41" fillId="2" borderId="38" xfId="2" applyFont="1" applyFill="1" applyBorder="1" applyAlignment="1" applyProtection="1">
      <alignment horizontal="left"/>
      <protection hidden="1"/>
    </xf>
    <xf numFmtId="0" fontId="41" fillId="2" borderId="37" xfId="2" applyFont="1" applyFill="1" applyBorder="1" applyAlignment="1" applyProtection="1">
      <alignment horizontal="left"/>
      <protection hidden="1"/>
    </xf>
    <xf numFmtId="0" fontId="41" fillId="2" borderId="35" xfId="2" applyFont="1" applyFill="1" applyBorder="1" applyAlignment="1" applyProtection="1">
      <alignment horizontal="left"/>
      <protection hidden="1"/>
    </xf>
    <xf numFmtId="0" fontId="37" fillId="2" borderId="25" xfId="2" applyFont="1" applyFill="1" applyBorder="1" applyAlignment="1" applyProtection="1">
      <alignment horizontal="left"/>
      <protection hidden="1"/>
    </xf>
    <xf numFmtId="0" fontId="37" fillId="2" borderId="1" xfId="2" applyFont="1" applyFill="1" applyBorder="1" applyAlignment="1" applyProtection="1">
      <alignment horizontal="left"/>
      <protection hidden="1"/>
    </xf>
    <xf numFmtId="0" fontId="37" fillId="2" borderId="38" xfId="2" applyFont="1" applyFill="1" applyBorder="1" applyAlignment="1" applyProtection="1">
      <alignment horizontal="left"/>
      <protection hidden="1"/>
    </xf>
    <xf numFmtId="0" fontId="37" fillId="2" borderId="37" xfId="2" applyFont="1" applyFill="1" applyBorder="1" applyAlignment="1" applyProtection="1">
      <alignment horizontal="left"/>
      <protection hidden="1"/>
    </xf>
    <xf numFmtId="0" fontId="37" fillId="2" borderId="43" xfId="2" applyFont="1" applyFill="1" applyBorder="1" applyAlignment="1" applyProtection="1">
      <alignment horizontal="left"/>
      <protection hidden="1"/>
    </xf>
    <xf numFmtId="0" fontId="37" fillId="2" borderId="42" xfId="2" applyFont="1" applyFill="1" applyBorder="1" applyAlignment="1" applyProtection="1">
      <alignment horizontal="left"/>
      <protection hidden="1"/>
    </xf>
    <xf numFmtId="0" fontId="37" fillId="2" borderId="49" xfId="2" applyFont="1" applyFill="1" applyBorder="1" applyAlignment="1" applyProtection="1">
      <alignment horizontal="left"/>
      <protection hidden="1"/>
    </xf>
    <xf numFmtId="0" fontId="37" fillId="2" borderId="4" xfId="2" applyFont="1" applyFill="1" applyBorder="1" applyAlignment="1" applyProtection="1">
      <alignment horizontal="left"/>
      <protection hidden="1"/>
    </xf>
    <xf numFmtId="0" fontId="40" fillId="2" borderId="1" xfId="2" applyFont="1" applyFill="1" applyBorder="1" applyAlignment="1" applyProtection="1">
      <alignment horizontal="center"/>
      <protection hidden="1"/>
    </xf>
    <xf numFmtId="0" fontId="40" fillId="0" borderId="62" xfId="2" applyFont="1" applyBorder="1" applyAlignment="1" applyProtection="1">
      <protection hidden="1"/>
    </xf>
    <xf numFmtId="0" fontId="40" fillId="0" borderId="63" xfId="2" applyFont="1" applyBorder="1" applyAlignment="1" applyProtection="1">
      <protection hidden="1"/>
    </xf>
    <xf numFmtId="0" fontId="40" fillId="0" borderId="50" xfId="2" applyFont="1" applyFill="1" applyBorder="1" applyAlignment="1" applyProtection="1">
      <alignment horizontal="left"/>
      <protection hidden="1"/>
    </xf>
    <xf numFmtId="0" fontId="40" fillId="0" borderId="64" xfId="2" applyFont="1" applyBorder="1" applyAlignment="1" applyProtection="1">
      <alignment horizontal="left"/>
      <protection hidden="1"/>
    </xf>
    <xf numFmtId="0" fontId="41" fillId="2" borderId="1" xfId="2" applyFont="1" applyFill="1" applyBorder="1" applyAlignment="1" applyProtection="1">
      <alignment horizontal="left"/>
      <protection hidden="1"/>
    </xf>
    <xf numFmtId="0" fontId="10" fillId="8" borderId="44" xfId="2" applyFont="1" applyFill="1" applyBorder="1" applyAlignment="1" applyProtection="1">
      <alignment horizontal="center" vertical="center" wrapText="1"/>
      <protection hidden="1"/>
    </xf>
    <xf numFmtId="0" fontId="10" fillId="8" borderId="33" xfId="2" applyFont="1" applyFill="1" applyBorder="1" applyAlignment="1" applyProtection="1">
      <alignment horizontal="center" vertical="center" wrapText="1"/>
      <protection hidden="1"/>
    </xf>
    <xf numFmtId="0" fontId="15" fillId="7" borderId="0" xfId="2" applyFont="1" applyFill="1" applyAlignment="1" applyProtection="1">
      <alignment horizontal="left" vertical="top"/>
      <protection hidden="1"/>
    </xf>
    <xf numFmtId="0" fontId="10" fillId="8" borderId="14" xfId="2" applyFont="1" applyFill="1" applyBorder="1" applyAlignment="1" applyProtection="1">
      <alignment horizontal="center" vertical="center" wrapText="1"/>
      <protection hidden="1"/>
    </xf>
    <xf numFmtId="0" fontId="10" fillId="9" borderId="22" xfId="15" applyFont="1" applyFill="1" applyBorder="1" applyAlignment="1" applyProtection="1">
      <alignment horizontal="center" vertical="center"/>
      <protection hidden="1"/>
    </xf>
    <xf numFmtId="0" fontId="10" fillId="9" borderId="21" xfId="15" applyFont="1" applyFill="1" applyBorder="1" applyAlignment="1" applyProtection="1">
      <alignment horizontal="center" vertical="center"/>
      <protection hidden="1"/>
    </xf>
    <xf numFmtId="0" fontId="9" fillId="10" borderId="53" xfId="15" applyFont="1" applyFill="1" applyBorder="1" applyAlignment="1" applyProtection="1">
      <alignment horizontal="center" vertical="center"/>
      <protection hidden="1"/>
    </xf>
    <xf numFmtId="0" fontId="9" fillId="10" borderId="31" xfId="15" applyFont="1" applyFill="1" applyBorder="1" applyAlignment="1" applyProtection="1">
      <alignment horizontal="center" vertical="center"/>
      <protection hidden="1"/>
    </xf>
    <xf numFmtId="0" fontId="9" fillId="10" borderId="74" xfId="15" applyFont="1" applyFill="1" applyBorder="1" applyAlignment="1" applyProtection="1">
      <alignment horizontal="center" vertical="center"/>
      <protection hidden="1"/>
    </xf>
    <xf numFmtId="0" fontId="11" fillId="10" borderId="44" xfId="15" applyFont="1" applyFill="1" applyBorder="1" applyAlignment="1" applyProtection="1">
      <alignment horizontal="center" vertical="center"/>
      <protection hidden="1"/>
    </xf>
    <xf numFmtId="0" fontId="11" fillId="10" borderId="30" xfId="15" applyFont="1" applyFill="1" applyBorder="1" applyAlignment="1" applyProtection="1">
      <alignment horizontal="center" vertical="center"/>
      <protection hidden="1"/>
    </xf>
    <xf numFmtId="0" fontId="11" fillId="10" borderId="70" xfId="15" applyFont="1" applyFill="1" applyBorder="1" applyAlignment="1" applyProtection="1">
      <alignment horizontal="center" vertical="center"/>
      <protection hidden="1"/>
    </xf>
    <xf numFmtId="0" fontId="11" fillId="10" borderId="44" xfId="15" applyFont="1" applyFill="1" applyBorder="1" applyAlignment="1" applyProtection="1">
      <alignment horizontal="center" vertical="center" wrapText="1"/>
      <protection hidden="1"/>
    </xf>
    <xf numFmtId="0" fontId="11" fillId="10" borderId="70" xfId="15" applyFont="1" applyFill="1" applyBorder="1" applyAlignment="1" applyProtection="1">
      <alignment horizontal="center" vertical="center" wrapText="1"/>
      <protection hidden="1"/>
    </xf>
    <xf numFmtId="0" fontId="48" fillId="10" borderId="30" xfId="15" applyFont="1" applyFill="1" applyBorder="1" applyAlignment="1" applyProtection="1">
      <alignment horizontal="center" vertical="center" wrapText="1"/>
      <protection hidden="1"/>
    </xf>
    <xf numFmtId="0" fontId="48" fillId="10" borderId="70" xfId="15" applyFont="1" applyFill="1" applyBorder="1" applyAlignment="1" applyProtection="1">
      <alignment horizontal="center" vertical="center" wrapText="1"/>
      <protection hidden="1"/>
    </xf>
    <xf numFmtId="0" fontId="11" fillId="10" borderId="91" xfId="15" applyFont="1" applyFill="1" applyBorder="1" applyAlignment="1" applyProtection="1">
      <alignment horizontal="center" vertical="center"/>
      <protection hidden="1"/>
    </xf>
    <xf numFmtId="0" fontId="19" fillId="9" borderId="34" xfId="15" applyFont="1" applyFill="1" applyBorder="1" applyAlignment="1" applyProtection="1">
      <alignment horizontal="center" vertical="center" wrapText="1"/>
      <protection hidden="1"/>
    </xf>
    <xf numFmtId="0" fontId="19" fillId="9" borderId="25" xfId="15" applyFont="1" applyFill="1" applyBorder="1" applyAlignment="1" applyProtection="1">
      <alignment horizontal="center" vertical="center" wrapText="1"/>
      <protection hidden="1"/>
    </xf>
    <xf numFmtId="0" fontId="19" fillId="9" borderId="8" xfId="15" applyFont="1" applyFill="1" applyBorder="1" applyAlignment="1" applyProtection="1">
      <alignment horizontal="center" vertical="center" wrapText="1"/>
      <protection hidden="1"/>
    </xf>
    <xf numFmtId="0" fontId="19" fillId="9" borderId="5" xfId="15" applyFont="1" applyFill="1" applyBorder="1" applyAlignment="1" applyProtection="1">
      <alignment horizontal="center" vertical="center" wrapText="1"/>
      <protection hidden="1"/>
    </xf>
    <xf numFmtId="0" fontId="19" fillId="9" borderId="66" xfId="15" applyFont="1" applyFill="1" applyBorder="1" applyAlignment="1" applyProtection="1">
      <alignment horizontal="center" vertical="center" wrapText="1"/>
      <protection hidden="1"/>
    </xf>
    <xf numFmtId="0" fontId="19" fillId="9" borderId="30" xfId="15" applyFont="1" applyFill="1" applyBorder="1" applyAlignment="1" applyProtection="1">
      <alignment horizontal="center" vertical="center" wrapText="1"/>
      <protection hidden="1"/>
    </xf>
    <xf numFmtId="0" fontId="19" fillId="9" borderId="33" xfId="15" applyFont="1" applyFill="1" applyBorder="1" applyAlignment="1" applyProtection="1">
      <alignment horizontal="center" vertical="center" wrapText="1"/>
      <protection hidden="1"/>
    </xf>
    <xf numFmtId="0" fontId="19" fillId="9" borderId="1" xfId="15" applyFont="1" applyFill="1" applyBorder="1" applyAlignment="1" applyProtection="1">
      <alignment horizontal="center" vertical="center" wrapText="1"/>
      <protection hidden="1"/>
    </xf>
    <xf numFmtId="0" fontId="10" fillId="12" borderId="48" xfId="15" applyFont="1" applyFill="1" applyBorder="1" applyAlignment="1" applyProtection="1">
      <alignment horizontal="center" vertical="center"/>
      <protection hidden="1"/>
    </xf>
    <xf numFmtId="0" fontId="10" fillId="12" borderId="52" xfId="15" applyFont="1" applyFill="1" applyBorder="1" applyAlignment="1" applyProtection="1">
      <alignment horizontal="center" vertical="center"/>
      <protection hidden="1"/>
    </xf>
    <xf numFmtId="0" fontId="10" fillId="12" borderId="51" xfId="15" applyFont="1" applyFill="1" applyBorder="1" applyAlignment="1" applyProtection="1">
      <alignment horizontal="center" vertical="center"/>
      <protection hidden="1"/>
    </xf>
    <xf numFmtId="0" fontId="10" fillId="21" borderId="5" xfId="15" applyFont="1" applyFill="1" applyBorder="1" applyAlignment="1" applyProtection="1">
      <alignment horizontal="center" vertical="center" wrapText="1"/>
      <protection hidden="1"/>
    </xf>
    <xf numFmtId="0" fontId="10" fillId="21" borderId="4" xfId="15" applyFont="1" applyFill="1" applyBorder="1" applyAlignment="1" applyProtection="1">
      <alignment horizontal="center" vertical="center" wrapText="1"/>
      <protection hidden="1"/>
    </xf>
    <xf numFmtId="0" fontId="10" fillId="9" borderId="44" xfId="15" applyFont="1" applyFill="1" applyBorder="1" applyAlignment="1" applyProtection="1">
      <alignment horizontal="center" vertical="center" wrapText="1"/>
      <protection hidden="1"/>
    </xf>
    <xf numFmtId="0" fontId="10" fillId="9" borderId="33" xfId="15" applyFont="1" applyFill="1" applyBorder="1" applyAlignment="1" applyProtection="1">
      <alignment horizontal="center" vertical="center" wrapText="1"/>
      <protection hidden="1"/>
    </xf>
    <xf numFmtId="0" fontId="10" fillId="9" borderId="5" xfId="15" applyFont="1" applyFill="1" applyBorder="1" applyAlignment="1" applyProtection="1">
      <alignment horizontal="center" vertical="center" wrapText="1"/>
      <protection hidden="1"/>
    </xf>
    <xf numFmtId="0" fontId="10" fillId="9" borderId="4" xfId="15" applyFont="1" applyFill="1" applyBorder="1" applyAlignment="1" applyProtection="1">
      <alignment horizontal="center" vertical="center" wrapText="1"/>
      <protection hidden="1"/>
    </xf>
    <xf numFmtId="0" fontId="10" fillId="27" borderId="5" xfId="15" applyFont="1" applyFill="1" applyBorder="1" applyAlignment="1" applyProtection="1">
      <alignment horizontal="center" vertical="center" wrapText="1"/>
      <protection hidden="1"/>
    </xf>
    <xf numFmtId="0" fontId="10" fillId="27" borderId="14" xfId="15" applyFont="1" applyFill="1" applyBorder="1" applyAlignment="1" applyProtection="1">
      <alignment horizontal="center" vertical="center" wrapText="1"/>
      <protection hidden="1"/>
    </xf>
    <xf numFmtId="0" fontId="10" fillId="27" borderId="4" xfId="15" applyFont="1" applyFill="1" applyBorder="1" applyAlignment="1" applyProtection="1">
      <alignment horizontal="center" vertical="center" wrapText="1"/>
      <protection hidden="1"/>
    </xf>
    <xf numFmtId="0" fontId="10" fillId="9" borderId="14" xfId="15" applyFont="1" applyFill="1" applyBorder="1" applyAlignment="1" applyProtection="1">
      <alignment horizontal="center" vertical="center" wrapText="1"/>
      <protection hidden="1"/>
    </xf>
    <xf numFmtId="0" fontId="10" fillId="9" borderId="23" xfId="15" applyFont="1" applyFill="1" applyBorder="1" applyAlignment="1" applyProtection="1">
      <alignment horizontal="center" vertical="center" wrapText="1"/>
      <protection hidden="1"/>
    </xf>
    <xf numFmtId="0" fontId="10" fillId="9" borderId="67" xfId="15" applyFont="1" applyFill="1" applyBorder="1" applyAlignment="1" applyProtection="1">
      <alignment horizontal="center" vertical="center" wrapText="1"/>
      <protection hidden="1"/>
    </xf>
    <xf numFmtId="0" fontId="10" fillId="9" borderId="68" xfId="15" applyFont="1" applyFill="1" applyBorder="1" applyAlignment="1" applyProtection="1">
      <alignment horizontal="center" vertical="center" wrapText="1"/>
      <protection hidden="1"/>
    </xf>
    <xf numFmtId="0" fontId="10" fillId="20" borderId="5" xfId="15" applyFont="1" applyFill="1" applyBorder="1" applyAlignment="1" applyProtection="1">
      <alignment horizontal="center" vertical="center" wrapText="1"/>
      <protection hidden="1"/>
    </xf>
    <xf numFmtId="0" fontId="10" fillId="20" borderId="14" xfId="15" applyFont="1" applyFill="1" applyBorder="1" applyAlignment="1" applyProtection="1">
      <alignment horizontal="center" vertical="center" wrapText="1"/>
      <protection hidden="1"/>
    </xf>
    <xf numFmtId="0" fontId="10" fillId="20" borderId="4" xfId="15" applyFont="1" applyFill="1" applyBorder="1" applyAlignment="1" applyProtection="1">
      <alignment horizontal="center" vertical="center" wrapText="1"/>
      <protection hidden="1"/>
    </xf>
    <xf numFmtId="0" fontId="10" fillId="21" borderId="14" xfId="15" applyFont="1" applyFill="1" applyBorder="1" applyAlignment="1" applyProtection="1">
      <alignment horizontal="center" vertical="center" wrapText="1"/>
      <protection hidden="1"/>
    </xf>
    <xf numFmtId="0" fontId="10" fillId="9" borderId="53" xfId="15" applyFont="1" applyFill="1" applyBorder="1" applyAlignment="1" applyProtection="1">
      <alignment horizontal="center" vertical="center" wrapText="1"/>
      <protection hidden="1"/>
    </xf>
    <xf numFmtId="0" fontId="10" fillId="9" borderId="31" xfId="15" applyFont="1" applyFill="1" applyBorder="1" applyAlignment="1" applyProtection="1">
      <alignment horizontal="center" vertical="center" wrapText="1"/>
      <protection hidden="1"/>
    </xf>
    <xf numFmtId="0" fontId="10" fillId="9" borderId="13" xfId="15" applyFont="1" applyFill="1" applyBorder="1" applyAlignment="1" applyProtection="1">
      <alignment horizontal="center" vertical="center" wrapText="1"/>
      <protection hidden="1"/>
    </xf>
    <xf numFmtId="0" fontId="10" fillId="9" borderId="41" xfId="15" applyFont="1" applyFill="1" applyBorder="1" applyAlignment="1" applyProtection="1">
      <alignment horizontal="center" vertical="center" wrapText="1"/>
      <protection hidden="1"/>
    </xf>
    <xf numFmtId="0" fontId="10" fillId="9" borderId="8" xfId="15" applyFont="1" applyFill="1" applyBorder="1" applyAlignment="1" applyProtection="1">
      <alignment horizontal="center" vertical="center" wrapText="1"/>
      <protection hidden="1"/>
    </xf>
    <xf numFmtId="0" fontId="10" fillId="9" borderId="26" xfId="15" applyFont="1" applyFill="1" applyBorder="1" applyAlignment="1" applyProtection="1">
      <alignment horizontal="center" vertical="center" wrapText="1"/>
      <protection hidden="1"/>
    </xf>
    <xf numFmtId="0" fontId="10" fillId="13" borderId="36" xfId="15" applyFont="1" applyFill="1" applyBorder="1" applyAlignment="1" applyProtection="1">
      <alignment horizontal="center" vertical="center"/>
      <protection hidden="1"/>
    </xf>
    <xf numFmtId="0" fontId="10" fillId="13" borderId="52" xfId="15" applyFont="1" applyFill="1" applyBorder="1" applyAlignment="1" applyProtection="1">
      <alignment horizontal="center" vertical="center"/>
      <protection hidden="1"/>
    </xf>
    <xf numFmtId="0" fontId="10" fillId="13" borderId="51" xfId="15" applyFont="1" applyFill="1" applyBorder="1" applyAlignment="1" applyProtection="1">
      <alignment horizontal="center" vertical="center"/>
      <protection hidden="1"/>
    </xf>
    <xf numFmtId="0" fontId="9" fillId="10" borderId="1" xfId="15" applyFont="1" applyFill="1" applyBorder="1" applyAlignment="1" applyProtection="1">
      <alignment horizontal="center" vertical="center"/>
      <protection hidden="1"/>
    </xf>
    <xf numFmtId="0" fontId="20" fillId="10" borderId="1" xfId="15" applyFont="1" applyFill="1" applyBorder="1" applyAlignment="1" applyProtection="1">
      <alignment horizontal="center" vertical="center"/>
      <protection hidden="1"/>
    </xf>
    <xf numFmtId="0" fontId="10" fillId="9" borderId="86" xfId="15" applyFont="1" applyFill="1" applyBorder="1" applyAlignment="1" applyProtection="1">
      <alignment horizontal="center" vertical="center"/>
      <protection hidden="1"/>
    </xf>
    <xf numFmtId="0" fontId="10" fillId="9" borderId="82" xfId="15" applyFont="1" applyFill="1" applyBorder="1" applyAlignment="1" applyProtection="1">
      <alignment horizontal="center" vertical="center"/>
      <protection hidden="1"/>
    </xf>
    <xf numFmtId="0" fontId="19" fillId="9" borderId="31" xfId="15" applyFont="1" applyFill="1" applyBorder="1" applyAlignment="1" applyProtection="1">
      <alignment horizontal="center" vertical="center" wrapText="1"/>
      <protection hidden="1"/>
    </xf>
    <xf numFmtId="0" fontId="19" fillId="9" borderId="10" xfId="15" applyFont="1" applyFill="1" applyBorder="1" applyAlignment="1" applyProtection="1">
      <alignment horizontal="center" vertical="center" wrapText="1"/>
      <protection hidden="1"/>
    </xf>
    <xf numFmtId="0" fontId="10" fillId="13" borderId="83" xfId="15" applyFont="1" applyFill="1" applyBorder="1" applyAlignment="1" applyProtection="1">
      <alignment horizontal="center" vertical="center"/>
      <protection hidden="1"/>
    </xf>
    <xf numFmtId="0" fontId="10" fillId="13" borderId="37" xfId="15" applyFont="1" applyFill="1" applyBorder="1" applyAlignment="1" applyProtection="1">
      <alignment horizontal="center" vertical="center"/>
      <protection hidden="1"/>
    </xf>
    <xf numFmtId="0" fontId="10" fillId="13" borderId="37" xfId="15" applyFont="1" applyFill="1" applyBorder="1" applyAlignment="1" applyProtection="1">
      <alignment vertical="center"/>
      <protection hidden="1"/>
    </xf>
    <xf numFmtId="0" fontId="10" fillId="13" borderId="35" xfId="15" applyFont="1" applyFill="1" applyBorder="1" applyAlignment="1" applyProtection="1">
      <alignment vertical="center"/>
      <protection hidden="1"/>
    </xf>
    <xf numFmtId="0" fontId="10" fillId="9" borderId="41" xfId="15" applyFont="1" applyFill="1" applyBorder="1" applyAlignment="1" applyProtection="1">
      <alignment vertical="center"/>
      <protection hidden="1"/>
    </xf>
    <xf numFmtId="0" fontId="10" fillId="9" borderId="30" xfId="15" applyFont="1" applyFill="1" applyBorder="1" applyAlignment="1" applyProtection="1">
      <alignment horizontal="center" vertical="center" wrapText="1"/>
      <protection hidden="1"/>
    </xf>
    <xf numFmtId="0" fontId="10" fillId="9" borderId="29" xfId="15" applyFont="1" applyFill="1" applyBorder="1" applyAlignment="1" applyProtection="1">
      <alignment horizontal="center" vertical="center" wrapText="1"/>
      <protection hidden="1"/>
    </xf>
    <xf numFmtId="0" fontId="10" fillId="9" borderId="43" xfId="15" applyFont="1" applyFill="1" applyBorder="1" applyAlignment="1">
      <alignment horizontal="center" vertical="center"/>
    </xf>
    <xf numFmtId="0" fontId="10" fillId="9" borderId="42" xfId="15" applyFont="1" applyFill="1" applyBorder="1" applyAlignment="1">
      <alignment horizontal="center" vertical="center"/>
    </xf>
    <xf numFmtId="0" fontId="21" fillId="7" borderId="0" xfId="15" applyFont="1" applyFill="1" applyAlignment="1">
      <alignment horizontal="left" vertical="center"/>
    </xf>
    <xf numFmtId="0" fontId="21" fillId="16" borderId="40" xfId="15" applyFont="1" applyFill="1" applyBorder="1" applyAlignment="1">
      <alignment horizontal="center" vertical="center"/>
    </xf>
    <xf numFmtId="0" fontId="21" fillId="16" borderId="39" xfId="15" applyFont="1" applyFill="1" applyBorder="1" applyAlignment="1">
      <alignment horizontal="center" vertical="center"/>
    </xf>
    <xf numFmtId="0" fontId="21" fillId="16" borderId="45" xfId="15" applyFont="1" applyFill="1" applyBorder="1" applyAlignment="1">
      <alignment horizontal="center" vertical="center"/>
    </xf>
    <xf numFmtId="0" fontId="21" fillId="16" borderId="3" xfId="15" applyFont="1" applyFill="1" applyBorder="1" applyAlignment="1">
      <alignment horizontal="center" vertical="center"/>
    </xf>
    <xf numFmtId="0" fontId="19" fillId="9" borderId="31" xfId="15" applyFont="1" applyFill="1" applyBorder="1" applyAlignment="1">
      <alignment horizontal="center" vertical="center" wrapText="1"/>
    </xf>
    <xf numFmtId="0" fontId="19" fillId="9" borderId="34" xfId="15" applyFont="1" applyFill="1" applyBorder="1" applyAlignment="1">
      <alignment horizontal="center" vertical="center" wrapText="1"/>
    </xf>
    <xf numFmtId="0" fontId="19" fillId="9" borderId="30" xfId="15" applyFont="1" applyFill="1" applyBorder="1" applyAlignment="1">
      <alignment horizontal="center" vertical="center" wrapText="1"/>
    </xf>
    <xf numFmtId="0" fontId="19" fillId="9" borderId="33" xfId="15" applyFont="1" applyFill="1" applyBorder="1" applyAlignment="1">
      <alignment horizontal="center" vertical="center" wrapText="1"/>
    </xf>
    <xf numFmtId="0" fontId="10" fillId="9" borderId="37" xfId="15" applyFont="1" applyFill="1" applyBorder="1" applyAlignment="1">
      <alignment horizontal="center" vertical="center"/>
    </xf>
    <xf numFmtId="0" fontId="10" fillId="9" borderId="36" xfId="15" applyFont="1" applyFill="1" applyBorder="1" applyAlignment="1">
      <alignment horizontal="center" vertical="center"/>
    </xf>
    <xf numFmtId="0" fontId="9" fillId="9" borderId="35" xfId="15" applyFont="1" applyFill="1" applyBorder="1" applyAlignment="1">
      <alignment vertical="center"/>
    </xf>
  </cellXfs>
  <cellStyles count="25">
    <cellStyle name="Currency 2" xfId="3" xr:uid="{00000000-0005-0000-0000-000000000000}"/>
    <cellStyle name="Navadno" xfId="0" builtinId="0"/>
    <cellStyle name="Navadno 2" xfId="5" xr:uid="{00000000-0005-0000-0000-000002000000}"/>
    <cellStyle name="Navadno 2 2" xfId="15" xr:uid="{00000000-0005-0000-0000-000003000000}"/>
    <cellStyle name="Navadno 2 3" xfId="19" xr:uid="{00000000-0005-0000-0000-000004000000}"/>
    <cellStyle name="Navadno 3" xfId="18" xr:uid="{00000000-0005-0000-0000-000005000000}"/>
    <cellStyle name="Navadno 4" xfId="21" xr:uid="{00000000-0005-0000-0000-000006000000}"/>
    <cellStyle name="Navadno 5 4" xfId="24" xr:uid="{00000000-0005-0000-0000-000007000000}"/>
    <cellStyle name="Normal 2" xfId="2" xr:uid="{00000000-0005-0000-0000-000008000000}"/>
    <cellStyle name="Normal 2 2" xfId="11" xr:uid="{00000000-0005-0000-0000-000009000000}"/>
    <cellStyle name="Normal 3" xfId="1" xr:uid="{00000000-0005-0000-0000-00000A000000}"/>
    <cellStyle name="Odstotek" xfId="20" builtinId="5"/>
    <cellStyle name="Odstotek 2" xfId="7" xr:uid="{00000000-0005-0000-0000-00000C000000}"/>
    <cellStyle name="Odstotek 2 2" xfId="17" xr:uid="{00000000-0005-0000-0000-00000D000000}"/>
    <cellStyle name="Odstotek 3" xfId="13" xr:uid="{00000000-0005-0000-0000-00000E000000}"/>
    <cellStyle name="Percent 2" xfId="4" xr:uid="{00000000-0005-0000-0000-00000F000000}"/>
    <cellStyle name="Standard_Vorlage_Kalk_ AC 030123 2" xfId="8" xr:uid="{00000000-0005-0000-0000-000010000000}"/>
    <cellStyle name="Valuta" xfId="10" builtinId="4"/>
    <cellStyle name="Valuta 2" xfId="6" xr:uid="{00000000-0005-0000-0000-000012000000}"/>
    <cellStyle name="Valuta 2 2" xfId="16" xr:uid="{00000000-0005-0000-0000-000013000000}"/>
    <cellStyle name="Valuta 3" xfId="12" xr:uid="{00000000-0005-0000-0000-000014000000}"/>
    <cellStyle name="Valuta 5" xfId="23" xr:uid="{00000000-0005-0000-0000-000015000000}"/>
    <cellStyle name="Vejica" xfId="9" builtinId="3"/>
    <cellStyle name="Vejica 2" xfId="14" xr:uid="{00000000-0005-0000-0000-000017000000}"/>
    <cellStyle name="Vejica 3" xfId="22" xr:uid="{00000000-0005-0000-0000-000018000000}"/>
  </cellStyles>
  <dxfs count="4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strike val="0"/>
        <outline val="0"/>
        <shadow val="0"/>
        <u val="none"/>
        <vertAlign val="baseline"/>
        <name val="Bookman Old Style"/>
        <scheme val="none"/>
      </font>
    </dxf>
    <dxf>
      <font>
        <strike val="0"/>
        <outline val="0"/>
        <shadow val="0"/>
        <u val="none"/>
        <vertAlign val="baseline"/>
        <name val="Bookman Old Style"/>
        <scheme val="none"/>
      </font>
    </dxf>
    <dxf>
      <font>
        <strike val="0"/>
        <outline val="0"/>
        <shadow val="0"/>
        <u val="none"/>
        <vertAlign val="baseline"/>
        <name val="Bookman Old Style"/>
        <scheme val="none"/>
      </font>
    </dxf>
    <dxf>
      <font>
        <strike val="0"/>
        <outline val="0"/>
        <shadow val="0"/>
        <u val="none"/>
        <vertAlign val="baseline"/>
        <name val="Bookman Old Style"/>
        <scheme val="none"/>
      </font>
    </dxf>
    <dxf>
      <font>
        <b/>
        <i val="0"/>
        <strike val="0"/>
        <condense val="0"/>
        <extend val="0"/>
        <outline val="0"/>
        <shadow val="0"/>
        <u val="none"/>
        <vertAlign val="baseline"/>
        <sz val="11"/>
        <color theme="1"/>
        <name val="Bookman Old Style"/>
        <scheme val="none"/>
      </font>
      <alignment horizontal="center" vertical="bottom" textRotation="0" wrapText="0" indent="0" justifyLastLine="0" shrinkToFit="0" readingOrder="0"/>
    </dxf>
    <dxf>
      <font>
        <strike val="0"/>
        <outline val="0"/>
        <shadow val="0"/>
        <u val="none"/>
        <vertAlign val="baseline"/>
        <name val="Bookman Old Style"/>
        <scheme val="none"/>
      </font>
    </dxf>
    <dxf>
      <font>
        <strike val="0"/>
        <outline val="0"/>
        <shadow val="0"/>
        <u val="none"/>
        <vertAlign val="baseline"/>
        <name val="Bookman Old Style"/>
        <scheme val="none"/>
      </font>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2" defaultTableStyle="TableStyleMedium2" defaultPivotStyle="PivotStyleMedium9">
    <tableStyle name="TableStyleMedium2 2" pivot="0" count="7" xr9:uid="{00000000-0011-0000-FFFF-FFFF00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 name="TableStyleMedium2 3" pivot="0" count="7" xr9:uid="{00000000-0011-0000-FFFF-FFFF01000000}">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s>
  <colors>
    <mruColors>
      <color rgb="FFBBF6A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i/Razpisi-ponudbe/2017-29-EUO%20MO%20Kranj/Kalkulacija%20Konk.%20dialog/Priloga%201_ZA%20KV.%20PONUDBO_KON&#268;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
      <sheetName val="ENERGENTI"/>
      <sheetName val="UKREPI - splošno"/>
      <sheetName val="UPRAVLJANJE"/>
      <sheetName val="OB01"/>
      <sheetName val="OB02"/>
      <sheetName val="OB03"/>
      <sheetName val="OB04"/>
      <sheetName val="OB05"/>
      <sheetName val="OB06"/>
      <sheetName val="OB07"/>
      <sheetName val="OB08"/>
      <sheetName val="OB09"/>
      <sheetName val="OB10"/>
      <sheetName val="OB11"/>
      <sheetName val="OB12"/>
      <sheetName val="OB13"/>
      <sheetName val="OB14"/>
      <sheetName val="OB15"/>
      <sheetName val="OB16"/>
      <sheetName val="OB17"/>
      <sheetName val="OB18"/>
      <sheetName val="OB19"/>
      <sheetName val="OB20"/>
      <sheetName val="OB21"/>
      <sheetName val="OB22"/>
      <sheetName val="OB23"/>
      <sheetName val="OB24"/>
      <sheetName val="OB25"/>
      <sheetName val="OB26"/>
      <sheetName val="OB27"/>
      <sheetName val="OB28"/>
      <sheetName val="OB29"/>
      <sheetName val="OB30"/>
      <sheetName val="OB31"/>
      <sheetName val="OB32"/>
      <sheetName val="OB33"/>
      <sheetName val="OB34"/>
      <sheetName val="OB35"/>
      <sheetName val="OB36"/>
      <sheetName val="OB37"/>
      <sheetName val="OB38"/>
      <sheetName val="SKUPAJ"/>
      <sheetName val="VZOREC OBRAČUNA - TOPLOTA"/>
      <sheetName val="VZOREC OBRAČUNA - EL. ENERGIJA"/>
      <sheetName val="VZOREC OBRAČUNA - SKUPAJ"/>
    </sheetNames>
    <sheetDataSet>
      <sheetData sheetId="0" refreshError="1"/>
      <sheetData sheetId="1">
        <row r="9">
          <cell r="A9" t="str">
            <v>OB01</v>
          </cell>
          <cell r="B9" t="str">
            <v>Občinska stavba MO Kranj</v>
          </cell>
          <cell r="C9" t="str">
            <v>Slovenski trg 1, 4000 Kranj</v>
          </cell>
          <cell r="D9">
            <v>9320</v>
          </cell>
          <cell r="E9">
            <v>1937</v>
          </cell>
          <cell r="F9" t="str">
            <v>raba v kWh</v>
          </cell>
          <cell r="G9">
            <v>527915.66666666674</v>
          </cell>
          <cell r="H9">
            <v>501385</v>
          </cell>
          <cell r="I9">
            <v>474136</v>
          </cell>
          <cell r="J9">
            <v>462994.66666666669</v>
          </cell>
          <cell r="K9">
            <v>491607.83333333337</v>
          </cell>
          <cell r="L9">
            <v>52.747621602288987</v>
          </cell>
          <cell r="M9">
            <v>491607.83333333337</v>
          </cell>
          <cell r="N9">
            <v>50933.002500000002</v>
          </cell>
          <cell r="O9">
            <v>52.747621602288987</v>
          </cell>
          <cell r="P9">
            <v>103.60494493069848</v>
          </cell>
          <cell r="Q9">
            <v>0</v>
          </cell>
          <cell r="R9" t="str">
            <v>ZP</v>
          </cell>
          <cell r="S9" t="str">
            <v>raba v kWh</v>
          </cell>
          <cell r="T9">
            <v>0</v>
          </cell>
          <cell r="U9">
            <v>700174.24</v>
          </cell>
          <cell r="V9">
            <v>841519.3600000001</v>
          </cell>
          <cell r="W9">
            <v>932256.6399999999</v>
          </cell>
          <cell r="X9">
            <v>618487.56000000006</v>
          </cell>
          <cell r="Y9">
            <v>66.361326180257521</v>
          </cell>
          <cell r="Z9">
            <v>652770.82850599696</v>
          </cell>
          <cell r="AA9">
            <v>34620.811472588233</v>
          </cell>
          <cell r="AB9">
            <v>70.039788466308693</v>
          </cell>
          <cell r="AC9">
            <v>53.036701336401975</v>
          </cell>
          <cell r="AD9">
            <v>3916.6249710359816</v>
          </cell>
          <cell r="AE9">
            <v>89470.43894362422</v>
          </cell>
        </row>
        <row r="10">
          <cell r="A10">
            <v>0</v>
          </cell>
          <cell r="B10">
            <v>0</v>
          </cell>
          <cell r="C10">
            <v>0</v>
          </cell>
          <cell r="D10">
            <v>0</v>
          </cell>
          <cell r="E10">
            <v>0</v>
          </cell>
          <cell r="F10" t="str">
            <v>stroški v €</v>
          </cell>
          <cell r="G10">
            <v>55368.920000000013</v>
          </cell>
          <cell r="H10">
            <v>51346.079999999994</v>
          </cell>
          <cell r="I10">
            <v>48493.640000000014</v>
          </cell>
          <cell r="J10">
            <v>48523.37</v>
          </cell>
          <cell r="K10">
            <v>50933.002500000002</v>
          </cell>
          <cell r="L10">
            <v>0</v>
          </cell>
          <cell r="M10">
            <v>0</v>
          </cell>
          <cell r="N10">
            <v>0</v>
          </cell>
          <cell r="O10">
            <v>0</v>
          </cell>
          <cell r="P10">
            <v>0</v>
          </cell>
          <cell r="Q10">
            <v>0</v>
          </cell>
          <cell r="R10">
            <v>0</v>
          </cell>
          <cell r="S10" t="str">
            <v>stroški v €</v>
          </cell>
          <cell r="T10">
            <v>0</v>
          </cell>
          <cell r="U10">
            <v>40114.200000000004</v>
          </cell>
          <cell r="V10">
            <v>48884.67</v>
          </cell>
          <cell r="W10">
            <v>42211.290000000008</v>
          </cell>
          <cell r="X10">
            <v>32802.54</v>
          </cell>
          <cell r="Y10">
            <v>0</v>
          </cell>
          <cell r="Z10">
            <v>0</v>
          </cell>
          <cell r="AA10">
            <v>0</v>
          </cell>
          <cell r="AB10">
            <v>0</v>
          </cell>
          <cell r="AC10">
            <v>0</v>
          </cell>
        </row>
        <row r="11">
          <cell r="A11">
            <v>0</v>
          </cell>
          <cell r="D11">
            <v>0</v>
          </cell>
          <cell r="E11">
            <v>0</v>
          </cell>
          <cell r="F11">
            <v>0</v>
          </cell>
          <cell r="G11">
            <v>0</v>
          </cell>
          <cell r="H11">
            <v>0</v>
          </cell>
          <cell r="I11">
            <v>0</v>
          </cell>
          <cell r="J11">
            <v>0</v>
          </cell>
          <cell r="K11">
            <v>0</v>
          </cell>
          <cell r="L11">
            <v>0</v>
          </cell>
          <cell r="M11">
            <v>0</v>
          </cell>
          <cell r="N11">
            <v>0</v>
          </cell>
          <cell r="O11">
            <v>0</v>
          </cell>
          <cell r="P11">
            <v>0</v>
          </cell>
          <cell r="R11">
            <v>0</v>
          </cell>
          <cell r="S11">
            <v>0</v>
          </cell>
          <cell r="T11">
            <v>0</v>
          </cell>
          <cell r="U11">
            <v>0</v>
          </cell>
          <cell r="V11">
            <v>0</v>
          </cell>
          <cell r="W11">
            <v>0</v>
          </cell>
          <cell r="X11">
            <v>0</v>
          </cell>
          <cell r="Y11">
            <v>0</v>
          </cell>
          <cell r="Z11">
            <v>0</v>
          </cell>
          <cell r="AA11">
            <v>0</v>
          </cell>
          <cell r="AB11">
            <v>0</v>
          </cell>
          <cell r="AC11">
            <v>0</v>
          </cell>
        </row>
        <row r="12">
          <cell r="A12" t="str">
            <v>OB02</v>
          </cell>
          <cell r="B12" t="str">
            <v>Prešernovo gledališče Kranj</v>
          </cell>
          <cell r="C12" t="str">
            <v>Glavni trg 6, 4000 Kranj</v>
          </cell>
          <cell r="D12">
            <v>1477</v>
          </cell>
          <cell r="E12" t="str">
            <v>19.stoletje</v>
          </cell>
          <cell r="F12" t="str">
            <v>raba v kWh</v>
          </cell>
          <cell r="G12">
            <v>58967</v>
          </cell>
          <cell r="H12">
            <v>56237</v>
          </cell>
          <cell r="I12">
            <v>60963</v>
          </cell>
          <cell r="J12">
            <v>49881</v>
          </cell>
          <cell r="K12">
            <v>56512</v>
          </cell>
          <cell r="L12">
            <v>38.261340555179416</v>
          </cell>
          <cell r="M12">
            <v>56512</v>
          </cell>
          <cell r="N12">
            <v>7321.3000000000011</v>
          </cell>
          <cell r="O12">
            <v>38.261340555179416</v>
          </cell>
          <cell r="P12">
            <v>129.55301528878823</v>
          </cell>
          <cell r="Q12">
            <v>0</v>
          </cell>
          <cell r="R12" t="str">
            <v>ELKO</v>
          </cell>
          <cell r="S12" t="str">
            <v>raba v kWh</v>
          </cell>
          <cell r="T12">
            <v>256888.80000000002</v>
          </cell>
          <cell r="U12">
            <v>133570.08000000002</v>
          </cell>
          <cell r="V12">
            <v>220278.24</v>
          </cell>
          <cell r="W12">
            <v>243260.64</v>
          </cell>
          <cell r="X12">
            <v>213499.44</v>
          </cell>
          <cell r="Y12">
            <v>144.54938388625592</v>
          </cell>
          <cell r="Z12">
            <v>225333.88761184845</v>
          </cell>
          <cell r="AA12">
            <v>10404.621658529568</v>
          </cell>
          <cell r="AB12">
            <v>152.56187380626164</v>
          </cell>
          <cell r="AC12">
            <v>46.174242892627724</v>
          </cell>
          <cell r="AD12">
            <v>1352.0033256710908</v>
          </cell>
          <cell r="AE12">
            <v>1352.0033256710908</v>
          </cell>
        </row>
        <row r="13">
          <cell r="A13">
            <v>0</v>
          </cell>
          <cell r="B13">
            <v>0</v>
          </cell>
          <cell r="C13">
            <v>0</v>
          </cell>
          <cell r="D13">
            <v>0</v>
          </cell>
          <cell r="E13">
            <v>0</v>
          </cell>
          <cell r="F13" t="str">
            <v>stroški v €</v>
          </cell>
          <cell r="G13">
            <v>8269.2300000000014</v>
          </cell>
          <cell r="H13">
            <v>7335.12</v>
          </cell>
          <cell r="I13">
            <v>7311.9400000000005</v>
          </cell>
          <cell r="J13">
            <v>6368.9099999999989</v>
          </cell>
          <cell r="K13">
            <v>7321.3</v>
          </cell>
          <cell r="L13">
            <v>0</v>
          </cell>
          <cell r="M13">
            <v>0</v>
          </cell>
          <cell r="N13">
            <v>0</v>
          </cell>
          <cell r="O13">
            <v>0</v>
          </cell>
          <cell r="P13">
            <v>0</v>
          </cell>
          <cell r="Q13">
            <v>0</v>
          </cell>
          <cell r="R13">
            <v>0</v>
          </cell>
          <cell r="S13" t="str">
            <v>stroški v €</v>
          </cell>
          <cell r="T13">
            <v>10951</v>
          </cell>
          <cell r="U13">
            <v>6366.8</v>
          </cell>
          <cell r="V13">
            <v>7967.53</v>
          </cell>
          <cell r="W13">
            <v>14147.37</v>
          </cell>
          <cell r="X13">
            <v>9858.1749999999993</v>
          </cell>
          <cell r="Y13">
            <v>0</v>
          </cell>
          <cell r="Z13">
            <v>0</v>
          </cell>
          <cell r="AA13">
            <v>0</v>
          </cell>
          <cell r="AB13">
            <v>0</v>
          </cell>
          <cell r="AC13">
            <v>0</v>
          </cell>
        </row>
        <row r="14">
          <cell r="A14">
            <v>0</v>
          </cell>
          <cell r="D14">
            <v>0</v>
          </cell>
          <cell r="E14">
            <v>0</v>
          </cell>
          <cell r="F14">
            <v>0</v>
          </cell>
          <cell r="G14">
            <v>0</v>
          </cell>
          <cell r="H14">
            <v>0</v>
          </cell>
          <cell r="I14">
            <v>0</v>
          </cell>
          <cell r="J14">
            <v>0</v>
          </cell>
          <cell r="K14">
            <v>0</v>
          </cell>
          <cell r="L14">
            <v>0</v>
          </cell>
          <cell r="M14">
            <v>0</v>
          </cell>
          <cell r="N14">
            <v>0</v>
          </cell>
          <cell r="O14">
            <v>0</v>
          </cell>
          <cell r="P14">
            <v>0</v>
          </cell>
          <cell r="R14">
            <v>0</v>
          </cell>
          <cell r="S14">
            <v>0</v>
          </cell>
          <cell r="T14">
            <v>0</v>
          </cell>
          <cell r="U14">
            <v>0</v>
          </cell>
          <cell r="V14">
            <v>0</v>
          </cell>
          <cell r="W14">
            <v>0</v>
          </cell>
          <cell r="X14">
            <v>0</v>
          </cell>
          <cell r="Y14">
            <v>0</v>
          </cell>
          <cell r="Z14">
            <v>0</v>
          </cell>
          <cell r="AA14">
            <v>0</v>
          </cell>
          <cell r="AB14">
            <v>0</v>
          </cell>
          <cell r="AC14">
            <v>0</v>
          </cell>
        </row>
        <row r="15">
          <cell r="A15" t="str">
            <v>OB03</v>
          </cell>
          <cell r="B15" t="str">
            <v>OŠ France Prešeren</v>
          </cell>
          <cell r="C15" t="str">
            <v>Kidričeva cesta 49, Kranj</v>
          </cell>
          <cell r="D15">
            <v>5747</v>
          </cell>
          <cell r="E15">
            <v>1968</v>
          </cell>
          <cell r="F15" t="str">
            <v>raba v kWh</v>
          </cell>
          <cell r="G15">
            <v>165706</v>
          </cell>
          <cell r="H15">
            <v>163925</v>
          </cell>
          <cell r="I15">
            <v>165543</v>
          </cell>
          <cell r="J15">
            <v>140991.81</v>
          </cell>
          <cell r="K15">
            <v>159041.45250000001</v>
          </cell>
          <cell r="L15">
            <v>27.673821559074302</v>
          </cell>
          <cell r="M15">
            <v>159041.45250000001</v>
          </cell>
          <cell r="N15">
            <v>19558.5275</v>
          </cell>
          <cell r="O15">
            <v>27.673821559074302</v>
          </cell>
          <cell r="P15">
            <v>122.97754574393112</v>
          </cell>
          <cell r="Q15">
            <v>0</v>
          </cell>
          <cell r="R15" t="str">
            <v>ZP</v>
          </cell>
          <cell r="S15" t="str">
            <v>raba v kWh</v>
          </cell>
          <cell r="T15">
            <v>716892.48</v>
          </cell>
          <cell r="U15">
            <v>756134.55999999994</v>
          </cell>
          <cell r="V15">
            <v>830144.15999999992</v>
          </cell>
          <cell r="W15">
            <v>854924.15999999992</v>
          </cell>
          <cell r="X15">
            <v>789523.84000000008</v>
          </cell>
          <cell r="Y15">
            <v>137.38017052375153</v>
          </cell>
          <cell r="Z15">
            <v>833287.7886210616</v>
          </cell>
          <cell r="AA15">
            <v>88272.011506468392</v>
          </cell>
          <cell r="AB15">
            <v>144.99526511589727</v>
          </cell>
          <cell r="AC15">
            <v>105.93220338983051</v>
          </cell>
          <cell r="AD15">
            <v>4999.7267317263695</v>
          </cell>
          <cell r="AE15">
            <v>93271.738238194768</v>
          </cell>
        </row>
        <row r="16">
          <cell r="A16">
            <v>0</v>
          </cell>
          <cell r="B16">
            <v>0</v>
          </cell>
          <cell r="C16">
            <v>0</v>
          </cell>
          <cell r="D16">
            <v>0</v>
          </cell>
          <cell r="E16">
            <v>0</v>
          </cell>
          <cell r="F16" t="str">
            <v>stroški v €</v>
          </cell>
          <cell r="G16">
            <v>19572.97</v>
          </cell>
          <cell r="H16">
            <v>19055.54</v>
          </cell>
          <cell r="I16">
            <v>19139.940000000002</v>
          </cell>
          <cell r="J16">
            <v>20465.66</v>
          </cell>
          <cell r="K16">
            <v>19558.5275</v>
          </cell>
          <cell r="L16">
            <v>0</v>
          </cell>
          <cell r="M16">
            <v>0</v>
          </cell>
          <cell r="N16">
            <v>0</v>
          </cell>
          <cell r="O16">
            <v>0</v>
          </cell>
          <cell r="P16">
            <v>0</v>
          </cell>
          <cell r="Q16">
            <v>0</v>
          </cell>
          <cell r="R16">
            <v>0</v>
          </cell>
          <cell r="S16" t="str">
            <v>stroški v €</v>
          </cell>
          <cell r="T16">
            <v>75942</v>
          </cell>
          <cell r="U16">
            <v>80099</v>
          </cell>
          <cell r="V16">
            <v>87939</v>
          </cell>
          <cell r="W16">
            <v>90564</v>
          </cell>
          <cell r="X16">
            <v>83636</v>
          </cell>
          <cell r="Y16">
            <v>0</v>
          </cell>
          <cell r="Z16">
            <v>0</v>
          </cell>
          <cell r="AA16">
            <v>0</v>
          </cell>
          <cell r="AB16">
            <v>0</v>
          </cell>
          <cell r="AC16">
            <v>0</v>
          </cell>
        </row>
        <row r="17">
          <cell r="A17">
            <v>0</v>
          </cell>
          <cell r="D17">
            <v>0</v>
          </cell>
          <cell r="E17">
            <v>0</v>
          </cell>
          <cell r="F17">
            <v>0</v>
          </cell>
          <cell r="G17">
            <v>0</v>
          </cell>
          <cell r="H17">
            <v>0</v>
          </cell>
          <cell r="I17">
            <v>0</v>
          </cell>
          <cell r="J17">
            <v>0</v>
          </cell>
          <cell r="K17">
            <v>0</v>
          </cell>
          <cell r="L17">
            <v>0</v>
          </cell>
          <cell r="M17">
            <v>0</v>
          </cell>
          <cell r="N17">
            <v>0</v>
          </cell>
          <cell r="O17">
            <v>0</v>
          </cell>
          <cell r="P17">
            <v>0</v>
          </cell>
          <cell r="R17">
            <v>0</v>
          </cell>
          <cell r="S17">
            <v>0</v>
          </cell>
          <cell r="T17">
            <v>0</v>
          </cell>
          <cell r="U17">
            <v>0</v>
          </cell>
          <cell r="V17">
            <v>0</v>
          </cell>
          <cell r="W17">
            <v>0</v>
          </cell>
          <cell r="X17">
            <v>0</v>
          </cell>
          <cell r="Y17">
            <v>0</v>
          </cell>
          <cell r="Z17">
            <v>0</v>
          </cell>
          <cell r="AA17">
            <v>0</v>
          </cell>
          <cell r="AB17">
            <v>0</v>
          </cell>
          <cell r="AC17">
            <v>0</v>
          </cell>
        </row>
        <row r="18">
          <cell r="A18" t="str">
            <v>OB04</v>
          </cell>
          <cell r="B18" t="str">
            <v>OŠ France Prešeren - POŠ Kokrica</v>
          </cell>
          <cell r="C18" t="str">
            <v>Cesta na Brdo 45a, 4000 Kranj</v>
          </cell>
          <cell r="D18">
            <v>1312</v>
          </cell>
          <cell r="E18">
            <v>1973</v>
          </cell>
          <cell r="F18" t="str">
            <v>raba v kWh</v>
          </cell>
          <cell r="G18">
            <v>73479</v>
          </cell>
          <cell r="H18">
            <v>82474</v>
          </cell>
          <cell r="I18">
            <v>72829</v>
          </cell>
          <cell r="J18">
            <v>74428</v>
          </cell>
          <cell r="K18">
            <v>75802.5</v>
          </cell>
          <cell r="L18">
            <v>57.776295731707314</v>
          </cell>
          <cell r="M18">
            <v>75802.5</v>
          </cell>
          <cell r="N18">
            <v>6626.8125</v>
          </cell>
          <cell r="O18">
            <v>57.776295731707314</v>
          </cell>
          <cell r="P18">
            <v>87.422083704363317</v>
          </cell>
          <cell r="Q18">
            <v>0</v>
          </cell>
          <cell r="R18" t="str">
            <v>ELKO</v>
          </cell>
          <cell r="S18" t="str">
            <v>raba v kWh</v>
          </cell>
          <cell r="T18">
            <v>205410.24</v>
          </cell>
          <cell r="U18">
            <v>97171.199999999997</v>
          </cell>
          <cell r="V18">
            <v>233614.07999999999</v>
          </cell>
          <cell r="W18">
            <v>69007.680000000008</v>
          </cell>
          <cell r="X18">
            <v>151300.80000000002</v>
          </cell>
          <cell r="Y18">
            <v>115.32073170731708</v>
          </cell>
          <cell r="Z18">
            <v>159687.52640654589</v>
          </cell>
          <cell r="AA18">
            <v>10558.002141481616</v>
          </cell>
          <cell r="AB18">
            <v>121.71305366352583</v>
          </cell>
          <cell r="AC18">
            <v>66.11663652802892</v>
          </cell>
          <cell r="AD18">
            <v>958.12515843927531</v>
          </cell>
          <cell r="AE18">
            <v>11516.127299920892</v>
          </cell>
        </row>
        <row r="19">
          <cell r="A19">
            <v>0</v>
          </cell>
          <cell r="B19">
            <v>0</v>
          </cell>
          <cell r="C19">
            <v>0</v>
          </cell>
          <cell r="D19">
            <v>0</v>
          </cell>
          <cell r="E19">
            <v>0</v>
          </cell>
          <cell r="F19" t="str">
            <v>stroški v €</v>
          </cell>
          <cell r="G19">
            <v>6560.2300000000005</v>
          </cell>
          <cell r="H19">
            <v>7952.4100000000008</v>
          </cell>
          <cell r="I19">
            <v>6601.88</v>
          </cell>
          <cell r="J19">
            <v>5392.7300000000005</v>
          </cell>
          <cell r="K19">
            <v>6626.8125</v>
          </cell>
          <cell r="L19">
            <v>0</v>
          </cell>
          <cell r="M19">
            <v>0</v>
          </cell>
          <cell r="N19">
            <v>0</v>
          </cell>
          <cell r="O19">
            <v>0</v>
          </cell>
          <cell r="P19">
            <v>0</v>
          </cell>
          <cell r="Q19">
            <v>0</v>
          </cell>
          <cell r="R19">
            <v>0</v>
          </cell>
          <cell r="S19" t="str">
            <v>stroški v €</v>
          </cell>
          <cell r="T19">
            <v>13159</v>
          </cell>
          <cell r="U19">
            <v>8000</v>
          </cell>
          <cell r="V19">
            <v>12009</v>
          </cell>
          <cell r="W19">
            <v>6846</v>
          </cell>
          <cell r="X19">
            <v>10003.5</v>
          </cell>
          <cell r="Y19">
            <v>0</v>
          </cell>
          <cell r="Z19">
            <v>0</v>
          </cell>
          <cell r="AA19">
            <v>0</v>
          </cell>
          <cell r="AB19">
            <v>0</v>
          </cell>
          <cell r="AC19">
            <v>0</v>
          </cell>
        </row>
        <row r="20">
          <cell r="A20">
            <v>0</v>
          </cell>
          <cell r="D20">
            <v>0</v>
          </cell>
          <cell r="E20">
            <v>0</v>
          </cell>
          <cell r="F20">
            <v>0</v>
          </cell>
          <cell r="G20">
            <v>0</v>
          </cell>
          <cell r="H20">
            <v>0</v>
          </cell>
          <cell r="I20">
            <v>0</v>
          </cell>
          <cell r="J20">
            <v>0</v>
          </cell>
          <cell r="K20">
            <v>0</v>
          </cell>
          <cell r="L20">
            <v>0</v>
          </cell>
          <cell r="M20">
            <v>0</v>
          </cell>
          <cell r="N20">
            <v>0</v>
          </cell>
          <cell r="O20">
            <v>0</v>
          </cell>
          <cell r="P20">
            <v>0</v>
          </cell>
          <cell r="R20">
            <v>0</v>
          </cell>
          <cell r="S20">
            <v>0</v>
          </cell>
          <cell r="T20">
            <v>0</v>
          </cell>
          <cell r="U20">
            <v>0</v>
          </cell>
          <cell r="V20">
            <v>0</v>
          </cell>
          <cell r="W20">
            <v>0</v>
          </cell>
          <cell r="X20">
            <v>0</v>
          </cell>
          <cell r="Y20">
            <v>0</v>
          </cell>
          <cell r="Z20">
            <v>0</v>
          </cell>
          <cell r="AA20">
            <v>0</v>
          </cell>
          <cell r="AB20">
            <v>0</v>
          </cell>
          <cell r="AC20">
            <v>0</v>
          </cell>
        </row>
        <row r="21">
          <cell r="A21" t="str">
            <v>OB05</v>
          </cell>
          <cell r="B21" t="str">
            <v>OŠ Helene Puhar</v>
          </cell>
          <cell r="C21" t="str">
            <v>Kidričeva cesta 51, 4000 Kranj</v>
          </cell>
          <cell r="D21">
            <v>2247</v>
          </cell>
          <cell r="E21">
            <v>1974</v>
          </cell>
          <cell r="F21" t="str">
            <v>raba v kWh</v>
          </cell>
          <cell r="G21">
            <v>86748</v>
          </cell>
          <cell r="H21">
            <v>92519</v>
          </cell>
          <cell r="I21">
            <v>88188</v>
          </cell>
          <cell r="J21">
            <v>89773</v>
          </cell>
          <cell r="K21">
            <v>89307</v>
          </cell>
          <cell r="L21">
            <v>39.744993324432578</v>
          </cell>
          <cell r="M21">
            <v>89307</v>
          </cell>
          <cell r="N21">
            <v>10341.877500000001</v>
          </cell>
          <cell r="O21">
            <v>39.744993324432578</v>
          </cell>
          <cell r="P21">
            <v>115.80142094124761</v>
          </cell>
          <cell r="Q21">
            <v>0</v>
          </cell>
          <cell r="R21" t="str">
            <v>ZP</v>
          </cell>
          <cell r="S21" t="str">
            <v>raba v kWh</v>
          </cell>
          <cell r="T21">
            <v>286862.71999999997</v>
          </cell>
          <cell r="U21">
            <v>207746.08000000002</v>
          </cell>
          <cell r="V21">
            <v>254974.39999999997</v>
          </cell>
          <cell r="W21">
            <v>268303.68</v>
          </cell>
          <cell r="X21">
            <v>254471.71999999997</v>
          </cell>
          <cell r="Y21">
            <v>113.24954161103693</v>
          </cell>
          <cell r="Z21">
            <v>268577.29441760486</v>
          </cell>
          <cell r="AA21">
            <v>28450.984578136111</v>
          </cell>
          <cell r="AB21">
            <v>119.52705581557849</v>
          </cell>
          <cell r="AC21">
            <v>105.93220338983052</v>
          </cell>
          <cell r="AD21">
            <v>1611.4637665056293</v>
          </cell>
          <cell r="AE21">
            <v>1611.4637665056293</v>
          </cell>
        </row>
        <row r="22">
          <cell r="A22">
            <v>0</v>
          </cell>
          <cell r="B22">
            <v>0</v>
          </cell>
          <cell r="C22">
            <v>0</v>
          </cell>
          <cell r="D22">
            <v>0</v>
          </cell>
          <cell r="E22">
            <v>0</v>
          </cell>
          <cell r="F22" t="str">
            <v>stroški v €</v>
          </cell>
          <cell r="G22">
            <v>10537.199999999999</v>
          </cell>
          <cell r="H22">
            <v>10573.990000000002</v>
          </cell>
          <cell r="I22">
            <v>9947.5</v>
          </cell>
          <cell r="J22">
            <v>10308.82</v>
          </cell>
          <cell r="K22">
            <v>10341.877500000001</v>
          </cell>
          <cell r="L22">
            <v>0</v>
          </cell>
          <cell r="M22">
            <v>0</v>
          </cell>
          <cell r="N22">
            <v>0</v>
          </cell>
          <cell r="O22">
            <v>0</v>
          </cell>
          <cell r="P22">
            <v>0</v>
          </cell>
          <cell r="Q22">
            <v>0</v>
          </cell>
          <cell r="R22">
            <v>0</v>
          </cell>
          <cell r="S22" t="str">
            <v>stroški v €</v>
          </cell>
          <cell r="T22">
            <v>30388</v>
          </cell>
          <cell r="U22">
            <v>22007</v>
          </cell>
          <cell r="V22">
            <v>27010</v>
          </cell>
          <cell r="W22">
            <v>28422</v>
          </cell>
          <cell r="X22">
            <v>26956.75</v>
          </cell>
          <cell r="Y22">
            <v>0</v>
          </cell>
          <cell r="Z22">
            <v>0</v>
          </cell>
          <cell r="AA22">
            <v>0</v>
          </cell>
          <cell r="AB22">
            <v>0</v>
          </cell>
          <cell r="AC22">
            <v>0</v>
          </cell>
        </row>
        <row r="23">
          <cell r="A23">
            <v>0</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row>
        <row r="24">
          <cell r="A24" t="str">
            <v>OB06</v>
          </cell>
          <cell r="B24" t="str">
            <v>OŠ Jakoba Aljaža s športno dvorano</v>
          </cell>
          <cell r="C24" t="str">
            <v>Ulica Tončka Dežmana 1, 4000 Kranj</v>
          </cell>
          <cell r="D24">
            <v>7715</v>
          </cell>
          <cell r="E24">
            <v>1980</v>
          </cell>
          <cell r="F24" t="str">
            <v>raba v kWh</v>
          </cell>
          <cell r="G24">
            <v>321030</v>
          </cell>
          <cell r="H24">
            <v>307825</v>
          </cell>
          <cell r="I24">
            <v>311540</v>
          </cell>
          <cell r="J24">
            <v>277985</v>
          </cell>
          <cell r="K24">
            <v>304595</v>
          </cell>
          <cell r="L24">
            <v>39.480881399870384</v>
          </cell>
          <cell r="M24">
            <v>304595</v>
          </cell>
          <cell r="N24">
            <v>33751.705000000002</v>
          </cell>
          <cell r="O24">
            <v>39.480881399870384</v>
          </cell>
          <cell r="P24">
            <v>110.80846698074492</v>
          </cell>
          <cell r="Q24">
            <v>0</v>
          </cell>
          <cell r="R24" t="str">
            <v>ZP</v>
          </cell>
          <cell r="S24" t="str">
            <v>raba v kWh</v>
          </cell>
          <cell r="T24">
            <v>1148020</v>
          </cell>
          <cell r="U24">
            <v>939600</v>
          </cell>
          <cell r="V24">
            <v>1004174</v>
          </cell>
          <cell r="W24">
            <v>1192118</v>
          </cell>
          <cell r="X24">
            <v>1070978</v>
          </cell>
          <cell r="Y24">
            <v>138.81762799740764</v>
          </cell>
          <cell r="Z24">
            <v>1130343.1816343979</v>
          </cell>
          <cell r="AA24">
            <v>52012.339999282252</v>
          </cell>
          <cell r="AB24">
            <v>146.51240202649359</v>
          </cell>
          <cell r="AC24">
            <v>46.014644794933886</v>
          </cell>
          <cell r="AD24">
            <v>6782.0590898063874</v>
          </cell>
          <cell r="AE24">
            <v>58794.399089088642</v>
          </cell>
        </row>
        <row r="25">
          <cell r="A25">
            <v>0</v>
          </cell>
          <cell r="B25">
            <v>0</v>
          </cell>
          <cell r="C25">
            <v>0</v>
          </cell>
          <cell r="D25">
            <v>0</v>
          </cell>
          <cell r="E25">
            <v>0</v>
          </cell>
          <cell r="F25" t="str">
            <v>stroški v €</v>
          </cell>
          <cell r="G25">
            <v>37931.449999999997</v>
          </cell>
          <cell r="H25">
            <v>33225.71</v>
          </cell>
          <cell r="I25">
            <v>33836.700000000004</v>
          </cell>
          <cell r="J25">
            <v>30012.960000000003</v>
          </cell>
          <cell r="K25">
            <v>33751.705000000002</v>
          </cell>
          <cell r="L25">
            <v>0</v>
          </cell>
          <cell r="M25">
            <v>0</v>
          </cell>
          <cell r="N25">
            <v>0</v>
          </cell>
          <cell r="O25">
            <v>0</v>
          </cell>
          <cell r="P25">
            <v>0</v>
          </cell>
          <cell r="Q25">
            <v>0</v>
          </cell>
          <cell r="R25">
            <v>0</v>
          </cell>
          <cell r="S25" t="str">
            <v>stroški v €</v>
          </cell>
          <cell r="T25">
            <v>59313.390000000014</v>
          </cell>
          <cell r="U25">
            <v>51754.11</v>
          </cell>
          <cell r="V25">
            <v>53194.71</v>
          </cell>
          <cell r="W25">
            <v>32860.479012754789</v>
          </cell>
          <cell r="X25">
            <v>49280.672253188706</v>
          </cell>
          <cell r="Y25">
            <v>0</v>
          </cell>
          <cell r="Z25">
            <v>0</v>
          </cell>
          <cell r="AA25">
            <v>0</v>
          </cell>
          <cell r="AB25">
            <v>0</v>
          </cell>
          <cell r="AC25">
            <v>0</v>
          </cell>
        </row>
        <row r="26">
          <cell r="A26">
            <v>0</v>
          </cell>
          <cell r="D26">
            <v>0</v>
          </cell>
          <cell r="E26">
            <v>0</v>
          </cell>
          <cell r="F26">
            <v>0</v>
          </cell>
          <cell r="G26">
            <v>0</v>
          </cell>
          <cell r="H26">
            <v>0</v>
          </cell>
          <cell r="I26">
            <v>0</v>
          </cell>
          <cell r="J26">
            <v>0</v>
          </cell>
          <cell r="K26">
            <v>0</v>
          </cell>
          <cell r="L26">
            <v>0</v>
          </cell>
          <cell r="M26">
            <v>0</v>
          </cell>
          <cell r="N26">
            <v>0</v>
          </cell>
          <cell r="O26">
            <v>0</v>
          </cell>
          <cell r="P26">
            <v>0</v>
          </cell>
          <cell r="R26">
            <v>0</v>
          </cell>
          <cell r="S26">
            <v>0</v>
          </cell>
          <cell r="T26">
            <v>0</v>
          </cell>
          <cell r="U26">
            <v>0</v>
          </cell>
          <cell r="V26">
            <v>0</v>
          </cell>
          <cell r="W26">
            <v>0</v>
          </cell>
          <cell r="X26">
            <v>0</v>
          </cell>
          <cell r="Y26">
            <v>0</v>
          </cell>
          <cell r="Z26">
            <v>0</v>
          </cell>
          <cell r="AA26">
            <v>0</v>
          </cell>
          <cell r="AB26">
            <v>0</v>
          </cell>
          <cell r="AC26">
            <v>0</v>
          </cell>
        </row>
        <row r="27">
          <cell r="A27" t="str">
            <v>OB07</v>
          </cell>
          <cell r="B27" t="str">
            <v>OŠ Matije Čopa</v>
          </cell>
          <cell r="C27" t="str">
            <v>Ulica Tuga Vidmarja 1, 4000 Kranj</v>
          </cell>
          <cell r="D27">
            <v>3718</v>
          </cell>
          <cell r="E27">
            <v>1988</v>
          </cell>
          <cell r="F27" t="str">
            <v>raba v kWh</v>
          </cell>
          <cell r="G27">
            <v>166208</v>
          </cell>
          <cell r="H27">
            <v>147780</v>
          </cell>
          <cell r="I27">
            <v>160084</v>
          </cell>
          <cell r="J27">
            <v>172896</v>
          </cell>
          <cell r="K27">
            <v>161742</v>
          </cell>
          <cell r="L27">
            <v>43.502420656266807</v>
          </cell>
          <cell r="M27">
            <v>161742</v>
          </cell>
          <cell r="N27">
            <v>21423.634999999998</v>
          </cell>
          <cell r="O27">
            <v>43.502420656266807</v>
          </cell>
          <cell r="P27">
            <v>132.45560831447614</v>
          </cell>
          <cell r="Q27">
            <v>0</v>
          </cell>
          <cell r="R27" t="str">
            <v>DO</v>
          </cell>
          <cell r="S27" t="str">
            <v>raba v kWh</v>
          </cell>
          <cell r="T27">
            <v>494800</v>
          </cell>
          <cell r="U27">
            <v>416640</v>
          </cell>
          <cell r="V27">
            <v>477885.35721264064</v>
          </cell>
          <cell r="W27">
            <v>511500</v>
          </cell>
          <cell r="X27">
            <v>475206.33930316014</v>
          </cell>
          <cell r="Y27">
            <v>127.81235591800971</v>
          </cell>
          <cell r="Z27">
            <v>501547.41320621828</v>
          </cell>
          <cell r="AA27">
            <v>35292.891344498865</v>
          </cell>
          <cell r="AB27">
            <v>134.89709876444817</v>
          </cell>
          <cell r="AC27">
            <v>70.368005925668484</v>
          </cell>
          <cell r="AD27">
            <v>3009.2844792373098</v>
          </cell>
          <cell r="AE27">
            <v>38302.175823736172</v>
          </cell>
        </row>
        <row r="28">
          <cell r="A28">
            <v>0</v>
          </cell>
          <cell r="B28">
            <v>0</v>
          </cell>
          <cell r="C28">
            <v>0</v>
          </cell>
          <cell r="D28">
            <v>0</v>
          </cell>
          <cell r="E28">
            <v>0</v>
          </cell>
          <cell r="F28" t="str">
            <v>stroški v €</v>
          </cell>
          <cell r="G28">
            <v>21591.200000000004</v>
          </cell>
          <cell r="H28">
            <v>19696.84</v>
          </cell>
          <cell r="I28">
            <v>20366.069999999996</v>
          </cell>
          <cell r="J28">
            <v>24040.43</v>
          </cell>
          <cell r="K28">
            <v>21423.635000000002</v>
          </cell>
          <cell r="L28">
            <v>0</v>
          </cell>
          <cell r="M28">
            <v>0</v>
          </cell>
          <cell r="N28">
            <v>0</v>
          </cell>
          <cell r="O28">
            <v>0</v>
          </cell>
          <cell r="P28">
            <v>0</v>
          </cell>
          <cell r="Q28">
            <v>0</v>
          </cell>
          <cell r="R28">
            <v>0</v>
          </cell>
          <cell r="S28" t="str">
            <v>stroški v €</v>
          </cell>
          <cell r="T28">
            <v>38028.15</v>
          </cell>
          <cell r="U28">
            <v>27601.74</v>
          </cell>
          <cell r="V28">
            <v>37249.979999999996</v>
          </cell>
          <cell r="W28">
            <v>30877.420000000002</v>
          </cell>
          <cell r="X28">
            <v>33439.322500000002</v>
          </cell>
          <cell r="Y28">
            <v>0</v>
          </cell>
          <cell r="Z28">
            <v>0</v>
          </cell>
          <cell r="AA28">
            <v>0</v>
          </cell>
          <cell r="AB28">
            <v>0</v>
          </cell>
          <cell r="AC28">
            <v>0</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row>
        <row r="30">
          <cell r="A30" t="str">
            <v>OB08</v>
          </cell>
          <cell r="B30" t="str">
            <v>OŠ Simona Jenka - PŠ Trstenik</v>
          </cell>
          <cell r="C30" t="str">
            <v>Trstenik 39, 4204 Golnik</v>
          </cell>
          <cell r="D30">
            <v>867</v>
          </cell>
          <cell r="E30">
            <v>1958</v>
          </cell>
          <cell r="F30" t="str">
            <v>raba v kWh</v>
          </cell>
          <cell r="G30">
            <v>165706</v>
          </cell>
          <cell r="H30">
            <v>163925</v>
          </cell>
          <cell r="I30">
            <v>165543</v>
          </cell>
          <cell r="J30">
            <v>140991.81</v>
          </cell>
          <cell r="K30">
            <v>159041.45250000001</v>
          </cell>
          <cell r="L30">
            <v>183.43881487889274</v>
          </cell>
          <cell r="M30">
            <v>159041.45250000001</v>
          </cell>
          <cell r="N30">
            <v>19558.5275</v>
          </cell>
          <cell r="O30">
            <v>183.43881487889274</v>
          </cell>
          <cell r="P30">
            <v>122.97754574393112</v>
          </cell>
          <cell r="Q30">
            <v>0</v>
          </cell>
          <cell r="R30" t="str">
            <v>ELKO</v>
          </cell>
          <cell r="S30" t="str">
            <v>raba v kWh</v>
          </cell>
          <cell r="T30">
            <v>115960.32000000001</v>
          </cell>
          <cell r="U30">
            <v>80640</v>
          </cell>
          <cell r="V30">
            <v>121050.72</v>
          </cell>
          <cell r="W30">
            <v>80690.399999999994</v>
          </cell>
          <cell r="X30">
            <v>99585.360000000015</v>
          </cell>
          <cell r="Y30">
            <v>114.86200692041524</v>
          </cell>
          <cell r="Z30">
            <v>105105.45750389542</v>
          </cell>
          <cell r="AA30">
            <v>8020.4826084524593</v>
          </cell>
          <cell r="AB30">
            <v>121.22890138857603</v>
          </cell>
          <cell r="AC30">
            <v>76.308907253033965</v>
          </cell>
          <cell r="AD30">
            <v>630.63274502337254</v>
          </cell>
          <cell r="AE30">
            <v>630.63274502337254</v>
          </cell>
        </row>
        <row r="31">
          <cell r="A31">
            <v>0</v>
          </cell>
          <cell r="B31">
            <v>0</v>
          </cell>
          <cell r="C31">
            <v>0</v>
          </cell>
          <cell r="D31">
            <v>0</v>
          </cell>
          <cell r="E31">
            <v>0</v>
          </cell>
          <cell r="F31" t="str">
            <v>stroški v €</v>
          </cell>
          <cell r="G31">
            <v>19572.97</v>
          </cell>
          <cell r="H31">
            <v>19055.54</v>
          </cell>
          <cell r="I31">
            <v>19139.940000000002</v>
          </cell>
          <cell r="J31">
            <v>20465.66</v>
          </cell>
          <cell r="K31">
            <v>19558.5275</v>
          </cell>
          <cell r="L31">
            <v>0</v>
          </cell>
          <cell r="M31">
            <v>0</v>
          </cell>
          <cell r="N31">
            <v>0</v>
          </cell>
          <cell r="O31">
            <v>0</v>
          </cell>
          <cell r="P31">
            <v>0</v>
          </cell>
          <cell r="Q31">
            <v>0</v>
          </cell>
          <cell r="R31">
            <v>0</v>
          </cell>
          <cell r="S31" t="str">
            <v>stroški v €</v>
          </cell>
          <cell r="T31">
            <v>10951</v>
          </cell>
          <cell r="U31">
            <v>6366.8</v>
          </cell>
          <cell r="V31">
            <v>7967.53</v>
          </cell>
          <cell r="W31">
            <v>5111.67</v>
          </cell>
          <cell r="X31">
            <v>7599.25</v>
          </cell>
          <cell r="Y31">
            <v>0</v>
          </cell>
          <cell r="Z31">
            <v>0</v>
          </cell>
          <cell r="AA31">
            <v>0</v>
          </cell>
          <cell r="AB31">
            <v>0</v>
          </cell>
          <cell r="AC31">
            <v>0</v>
          </cell>
        </row>
        <row r="32">
          <cell r="A32">
            <v>0</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OB09</v>
          </cell>
          <cell r="B33" t="str">
            <v>OŠ Staneta Žagarja</v>
          </cell>
          <cell r="C33" t="str">
            <v>Cesta 1. maja 10a, 4000 Kranj</v>
          </cell>
          <cell r="D33">
            <v>2517</v>
          </cell>
          <cell r="E33">
            <v>1961</v>
          </cell>
          <cell r="F33" t="str">
            <v>raba v kWh</v>
          </cell>
          <cell r="G33">
            <v>82785</v>
          </cell>
          <cell r="H33">
            <v>91293</v>
          </cell>
          <cell r="I33">
            <v>96332</v>
          </cell>
          <cell r="J33">
            <v>83548</v>
          </cell>
          <cell r="K33">
            <v>88489.5</v>
          </cell>
          <cell r="L33">
            <v>35.156734207389746</v>
          </cell>
          <cell r="M33">
            <v>88489.5</v>
          </cell>
          <cell r="N33">
            <v>10250.6675</v>
          </cell>
          <cell r="O33">
            <v>35.156734207389746</v>
          </cell>
          <cell r="P33">
            <v>115.84049519999547</v>
          </cell>
          <cell r="Q33">
            <v>0</v>
          </cell>
          <cell r="R33" t="str">
            <v>ZP</v>
          </cell>
          <cell r="S33" t="str">
            <v>raba v kWh</v>
          </cell>
          <cell r="T33">
            <v>332316.31999999995</v>
          </cell>
          <cell r="U33">
            <v>425592.95999999996</v>
          </cell>
          <cell r="V33">
            <v>502793.27999999991</v>
          </cell>
          <cell r="W33">
            <v>525241.60000000009</v>
          </cell>
          <cell r="X33">
            <v>446486.04</v>
          </cell>
          <cell r="Y33">
            <v>177.38817640047674</v>
          </cell>
          <cell r="Z33">
            <v>471235.12435264123</v>
          </cell>
          <cell r="AA33">
            <v>26465.202057100847</v>
          </cell>
          <cell r="AB33">
            <v>187.22094729942043</v>
          </cell>
          <cell r="AC33">
            <v>56.161352771522267</v>
          </cell>
          <cell r="AD33">
            <v>2827.4107461158474</v>
          </cell>
          <cell r="AE33">
            <v>29292.612803216696</v>
          </cell>
        </row>
        <row r="34">
          <cell r="A34">
            <v>0</v>
          </cell>
          <cell r="B34">
            <v>0</v>
          </cell>
          <cell r="C34">
            <v>0</v>
          </cell>
          <cell r="D34">
            <v>0</v>
          </cell>
          <cell r="E34">
            <v>0</v>
          </cell>
          <cell r="F34" t="str">
            <v>stroški v €</v>
          </cell>
          <cell r="G34">
            <v>10649.58</v>
          </cell>
          <cell r="H34">
            <v>9750.4</v>
          </cell>
          <cell r="I34">
            <v>10873.120000000003</v>
          </cell>
          <cell r="J34">
            <v>9729.57</v>
          </cell>
          <cell r="K34">
            <v>10250.6675</v>
          </cell>
          <cell r="L34">
            <v>0</v>
          </cell>
          <cell r="M34">
            <v>0</v>
          </cell>
          <cell r="N34">
            <v>0</v>
          </cell>
          <cell r="O34">
            <v>0</v>
          </cell>
          <cell r="P34">
            <v>0</v>
          </cell>
          <cell r="Q34">
            <v>0</v>
          </cell>
          <cell r="R34">
            <v>0</v>
          </cell>
          <cell r="S34" t="str">
            <v>stroški v €</v>
          </cell>
          <cell r="T34">
            <v>19952.150000000001</v>
          </cell>
          <cell r="U34">
            <v>25846.32</v>
          </cell>
          <cell r="V34">
            <v>29154.75</v>
          </cell>
          <cell r="W34">
            <v>25347.820000000003</v>
          </cell>
          <cell r="X34">
            <v>25075.260000000002</v>
          </cell>
          <cell r="Y34">
            <v>0</v>
          </cell>
          <cell r="Z34">
            <v>0</v>
          </cell>
          <cell r="AA34">
            <v>0</v>
          </cell>
          <cell r="AB34">
            <v>0</v>
          </cell>
          <cell r="AC34">
            <v>0</v>
          </cell>
        </row>
        <row r="35">
          <cell r="A35">
            <v>0</v>
          </cell>
          <cell r="D35">
            <v>0</v>
          </cell>
          <cell r="E35">
            <v>0</v>
          </cell>
          <cell r="F35">
            <v>0</v>
          </cell>
          <cell r="G35">
            <v>0</v>
          </cell>
          <cell r="H35">
            <v>0</v>
          </cell>
          <cell r="I35">
            <v>0</v>
          </cell>
          <cell r="J35">
            <v>0</v>
          </cell>
          <cell r="K35">
            <v>0</v>
          </cell>
          <cell r="L35">
            <v>0</v>
          </cell>
          <cell r="M35">
            <v>0</v>
          </cell>
          <cell r="N35">
            <v>0</v>
          </cell>
          <cell r="O35">
            <v>0</v>
          </cell>
          <cell r="P35">
            <v>0</v>
          </cell>
          <cell r="R35">
            <v>0</v>
          </cell>
          <cell r="S35">
            <v>0</v>
          </cell>
          <cell r="T35">
            <v>0</v>
          </cell>
          <cell r="U35">
            <v>0</v>
          </cell>
          <cell r="V35">
            <v>0</v>
          </cell>
          <cell r="W35">
            <v>0</v>
          </cell>
          <cell r="X35">
            <v>0</v>
          </cell>
          <cell r="Y35">
            <v>0</v>
          </cell>
          <cell r="Z35">
            <v>0</v>
          </cell>
          <cell r="AA35">
            <v>0</v>
          </cell>
          <cell r="AB35">
            <v>0</v>
          </cell>
          <cell r="AC35">
            <v>0</v>
          </cell>
        </row>
        <row r="36">
          <cell r="A36" t="str">
            <v>OB10</v>
          </cell>
          <cell r="B36" t="str">
            <v>VVZ Čebelica</v>
          </cell>
          <cell r="C36" t="str">
            <v>Planina 39, 4000 Kranj</v>
          </cell>
          <cell r="D36">
            <v>697</v>
          </cell>
          <cell r="E36">
            <v>1973</v>
          </cell>
          <cell r="F36" t="str">
            <v>raba v kWh</v>
          </cell>
          <cell r="G36">
            <v>23583</v>
          </cell>
          <cell r="H36">
            <v>16939</v>
          </cell>
          <cell r="I36">
            <v>15826</v>
          </cell>
          <cell r="J36">
            <v>17864</v>
          </cell>
          <cell r="K36">
            <v>18553</v>
          </cell>
          <cell r="L36">
            <v>26.618364418938306</v>
          </cell>
          <cell r="M36">
            <v>18553</v>
          </cell>
          <cell r="N36">
            <v>2123.6400000000003</v>
          </cell>
          <cell r="O36">
            <v>26.618364418938306</v>
          </cell>
          <cell r="P36">
            <v>114.46342909502508</v>
          </cell>
          <cell r="Q36">
            <v>0</v>
          </cell>
          <cell r="R36" t="str">
            <v>DO</v>
          </cell>
          <cell r="S36" t="str">
            <v>raba v kWh</v>
          </cell>
          <cell r="T36">
            <v>106040</v>
          </cell>
          <cell r="U36">
            <v>100190</v>
          </cell>
          <cell r="V36">
            <v>121280</v>
          </cell>
          <cell r="W36">
            <v>112910</v>
          </cell>
          <cell r="X36">
            <v>110105</v>
          </cell>
          <cell r="Y36">
            <v>157.96987087517934</v>
          </cell>
          <cell r="Z36">
            <v>116208.20970538646</v>
          </cell>
          <cell r="AA36">
            <v>7813.995485548995</v>
          </cell>
          <cell r="AB36">
            <v>166.72626930471515</v>
          </cell>
          <cell r="AC36">
            <v>67.24133781390492</v>
          </cell>
          <cell r="AD36">
            <v>697.24925823231877</v>
          </cell>
          <cell r="AE36">
            <v>8511.2447437813134</v>
          </cell>
        </row>
        <row r="37">
          <cell r="A37">
            <v>0</v>
          </cell>
          <cell r="B37">
            <v>0</v>
          </cell>
          <cell r="C37">
            <v>0</v>
          </cell>
          <cell r="D37">
            <v>0</v>
          </cell>
          <cell r="E37">
            <v>0</v>
          </cell>
          <cell r="F37" t="str">
            <v>stroški v €</v>
          </cell>
          <cell r="G37">
            <v>2984.6100000000006</v>
          </cell>
          <cell r="H37">
            <v>1517.0800000000002</v>
          </cell>
          <cell r="I37">
            <v>1892.87</v>
          </cell>
          <cell r="J37">
            <v>2100</v>
          </cell>
          <cell r="K37">
            <v>2123.6400000000003</v>
          </cell>
          <cell r="L37">
            <v>0</v>
          </cell>
          <cell r="M37">
            <v>0</v>
          </cell>
          <cell r="N37">
            <v>0</v>
          </cell>
          <cell r="O37">
            <v>0</v>
          </cell>
          <cell r="P37">
            <v>0</v>
          </cell>
          <cell r="Q37">
            <v>0</v>
          </cell>
          <cell r="R37">
            <v>0</v>
          </cell>
          <cell r="S37" t="str">
            <v>stroški v €</v>
          </cell>
          <cell r="T37">
            <v>8695.7200000000012</v>
          </cell>
          <cell r="U37">
            <v>7283.380000000001</v>
          </cell>
          <cell r="V37">
            <v>7291.7600000000011</v>
          </cell>
          <cell r="W37">
            <v>6343.5700000000006</v>
          </cell>
          <cell r="X37">
            <v>7403.607500000001</v>
          </cell>
          <cell r="Y37">
            <v>0</v>
          </cell>
          <cell r="Z37">
            <v>0</v>
          </cell>
          <cell r="AA37">
            <v>0</v>
          </cell>
          <cell r="AB37">
            <v>0</v>
          </cell>
          <cell r="AC37">
            <v>0</v>
          </cell>
        </row>
        <row r="38">
          <cell r="A38">
            <v>0</v>
          </cell>
          <cell r="D38">
            <v>0</v>
          </cell>
          <cell r="E38">
            <v>0</v>
          </cell>
          <cell r="F38">
            <v>0</v>
          </cell>
          <cell r="G38">
            <v>0</v>
          </cell>
          <cell r="H38">
            <v>0</v>
          </cell>
          <cell r="I38">
            <v>0</v>
          </cell>
          <cell r="J38">
            <v>0</v>
          </cell>
          <cell r="K38">
            <v>0</v>
          </cell>
          <cell r="L38">
            <v>0</v>
          </cell>
          <cell r="M38">
            <v>0</v>
          </cell>
          <cell r="N38">
            <v>0</v>
          </cell>
          <cell r="O38">
            <v>0</v>
          </cell>
          <cell r="P38">
            <v>0</v>
          </cell>
          <cell r="R38">
            <v>0</v>
          </cell>
          <cell r="S38">
            <v>0</v>
          </cell>
          <cell r="T38">
            <v>0</v>
          </cell>
          <cell r="U38">
            <v>0</v>
          </cell>
          <cell r="V38">
            <v>0</v>
          </cell>
          <cell r="W38">
            <v>0</v>
          </cell>
          <cell r="X38">
            <v>0</v>
          </cell>
          <cell r="Y38">
            <v>0</v>
          </cell>
          <cell r="Z38">
            <v>0</v>
          </cell>
          <cell r="AA38">
            <v>0</v>
          </cell>
          <cell r="AB38">
            <v>0</v>
          </cell>
          <cell r="AC38">
            <v>0</v>
          </cell>
        </row>
        <row r="39">
          <cell r="A39" t="str">
            <v>OB11</v>
          </cell>
          <cell r="B39" t="str">
            <v>VVZ Janina</v>
          </cell>
          <cell r="C39" t="str">
            <v>Kebetova 9, 4000 Kranj</v>
          </cell>
          <cell r="D39">
            <v>1671.3</v>
          </cell>
          <cell r="E39">
            <v>1969</v>
          </cell>
          <cell r="F39" t="str">
            <v>raba v kWh</v>
          </cell>
          <cell r="G39">
            <v>76854</v>
          </cell>
          <cell r="H39">
            <v>74838</v>
          </cell>
          <cell r="I39">
            <v>77551</v>
          </cell>
          <cell r="J39">
            <v>92981</v>
          </cell>
          <cell r="K39">
            <v>80556</v>
          </cell>
          <cell r="L39">
            <v>48.199605097828041</v>
          </cell>
          <cell r="M39">
            <v>80556</v>
          </cell>
          <cell r="N39">
            <v>8732.1424999999981</v>
          </cell>
          <cell r="O39">
            <v>48.199605097828041</v>
          </cell>
          <cell r="P39">
            <v>108.39841228462186</v>
          </cell>
          <cell r="Q39">
            <v>0</v>
          </cell>
          <cell r="R39" t="str">
            <v>ZP</v>
          </cell>
          <cell r="S39" t="str">
            <v>raba v kWh</v>
          </cell>
          <cell r="T39">
            <v>325406.24</v>
          </cell>
          <cell r="U39">
            <v>312161.92000000004</v>
          </cell>
          <cell r="V39">
            <v>321233.76</v>
          </cell>
          <cell r="W39">
            <v>288127.68</v>
          </cell>
          <cell r="X39">
            <v>311732.40000000002</v>
          </cell>
          <cell r="Y39">
            <v>186.52091186501528</v>
          </cell>
          <cell r="Z39">
            <v>329011.9804837511</v>
          </cell>
          <cell r="AA39">
            <v>17625.053624077413</v>
          </cell>
          <cell r="AB39">
            <v>196.85991771899188</v>
          </cell>
          <cell r="AC39">
            <v>53.569640832419047</v>
          </cell>
          <cell r="AD39">
            <v>1974.0718829025068</v>
          </cell>
          <cell r="AE39">
            <v>1974.0718829025068</v>
          </cell>
        </row>
        <row r="40">
          <cell r="A40">
            <v>0</v>
          </cell>
          <cell r="B40">
            <v>0</v>
          </cell>
          <cell r="C40">
            <v>0</v>
          </cell>
          <cell r="D40">
            <v>0</v>
          </cell>
          <cell r="E40">
            <v>0</v>
          </cell>
          <cell r="F40" t="str">
            <v>stroški v €</v>
          </cell>
          <cell r="G40">
            <v>11026.789999999999</v>
          </cell>
          <cell r="H40">
            <v>10096.799999999999</v>
          </cell>
          <cell r="I40">
            <v>6288.99</v>
          </cell>
          <cell r="J40">
            <v>7515.9900000000016</v>
          </cell>
          <cell r="K40">
            <v>8732.1424999999981</v>
          </cell>
          <cell r="L40">
            <v>0</v>
          </cell>
          <cell r="M40">
            <v>0</v>
          </cell>
          <cell r="N40">
            <v>0</v>
          </cell>
          <cell r="O40">
            <v>0</v>
          </cell>
          <cell r="P40">
            <v>0</v>
          </cell>
          <cell r="Q40">
            <v>0</v>
          </cell>
          <cell r="R40">
            <v>0</v>
          </cell>
          <cell r="S40" t="str">
            <v>stroški v €</v>
          </cell>
          <cell r="T40">
            <v>20475.12</v>
          </cell>
          <cell r="U40">
            <v>18159.41</v>
          </cell>
          <cell r="V40">
            <v>13147.860815311957</v>
          </cell>
          <cell r="W40">
            <v>15015.179999999998</v>
          </cell>
          <cell r="X40">
            <v>16699.392703827987</v>
          </cell>
          <cell r="Y40">
            <v>0</v>
          </cell>
          <cell r="Z40">
            <v>0</v>
          </cell>
          <cell r="AA40">
            <v>0</v>
          </cell>
          <cell r="AB40">
            <v>0</v>
          </cell>
          <cell r="AC40">
            <v>0</v>
          </cell>
        </row>
        <row r="41">
          <cell r="A41">
            <v>0</v>
          </cell>
          <cell r="D41">
            <v>0</v>
          </cell>
          <cell r="E41">
            <v>0</v>
          </cell>
          <cell r="F41">
            <v>0</v>
          </cell>
          <cell r="G41">
            <v>0</v>
          </cell>
          <cell r="H41">
            <v>0</v>
          </cell>
          <cell r="I41">
            <v>0</v>
          </cell>
          <cell r="J41">
            <v>0</v>
          </cell>
          <cell r="K41">
            <v>0</v>
          </cell>
          <cell r="L41">
            <v>0</v>
          </cell>
          <cell r="M41">
            <v>0</v>
          </cell>
          <cell r="N41">
            <v>0</v>
          </cell>
          <cell r="O41">
            <v>0</v>
          </cell>
          <cell r="P41">
            <v>0</v>
          </cell>
          <cell r="R41">
            <v>0</v>
          </cell>
          <cell r="S41">
            <v>0</v>
          </cell>
          <cell r="T41">
            <v>0</v>
          </cell>
          <cell r="U41">
            <v>0</v>
          </cell>
          <cell r="V41">
            <v>0</v>
          </cell>
          <cell r="W41">
            <v>0</v>
          </cell>
          <cell r="X41">
            <v>0</v>
          </cell>
          <cell r="Y41">
            <v>0</v>
          </cell>
          <cell r="Z41">
            <v>0</v>
          </cell>
          <cell r="AA41">
            <v>0</v>
          </cell>
          <cell r="AB41">
            <v>0</v>
          </cell>
          <cell r="AC41">
            <v>0</v>
          </cell>
        </row>
        <row r="42">
          <cell r="A42" t="str">
            <v>OB12</v>
          </cell>
          <cell r="B42" t="str">
            <v>VVZ Najdihojca</v>
          </cell>
          <cell r="C42" t="str">
            <v>Ulice Nikole Tesle 4, 4000 Kranj</v>
          </cell>
          <cell r="D42">
            <v>1776</v>
          </cell>
          <cell r="E42">
            <v>1978</v>
          </cell>
          <cell r="F42" t="str">
            <v>raba v kWh</v>
          </cell>
          <cell r="G42">
            <v>168359</v>
          </cell>
          <cell r="H42">
            <v>165762</v>
          </cell>
          <cell r="I42">
            <v>160636</v>
          </cell>
          <cell r="J42">
            <v>153958</v>
          </cell>
          <cell r="K42">
            <v>162178.75</v>
          </cell>
          <cell r="L42">
            <v>91.316863738738732</v>
          </cell>
          <cell r="M42">
            <v>162178.75</v>
          </cell>
          <cell r="N42">
            <v>20412.2</v>
          </cell>
          <cell r="O42">
            <v>91.316863738738732</v>
          </cell>
          <cell r="P42">
            <v>125.8623586628951</v>
          </cell>
          <cell r="Q42">
            <v>0</v>
          </cell>
          <cell r="R42" t="str">
            <v>DO</v>
          </cell>
          <cell r="S42" t="str">
            <v>raba v kWh</v>
          </cell>
          <cell r="T42">
            <v>237964</v>
          </cell>
          <cell r="U42">
            <v>195000</v>
          </cell>
          <cell r="V42">
            <v>223810</v>
          </cell>
          <cell r="W42">
            <v>225830</v>
          </cell>
          <cell r="X42">
            <v>220651</v>
          </cell>
          <cell r="Y42">
            <v>124.24042792792793</v>
          </cell>
          <cell r="Z42">
            <v>232881.8643994662</v>
          </cell>
          <cell r="AA42">
            <v>23846.760005034073</v>
          </cell>
          <cell r="AB42">
            <v>131.12717590060035</v>
          </cell>
          <cell r="AC42">
            <v>102.39852753896423</v>
          </cell>
          <cell r="AD42">
            <v>1397.2911863967972</v>
          </cell>
          <cell r="AE42">
            <v>25244.05119143087</v>
          </cell>
        </row>
        <row r="43">
          <cell r="A43">
            <v>0</v>
          </cell>
          <cell r="B43">
            <v>0</v>
          </cell>
          <cell r="C43">
            <v>0</v>
          </cell>
          <cell r="D43">
            <v>0</v>
          </cell>
          <cell r="E43">
            <v>0</v>
          </cell>
          <cell r="F43" t="str">
            <v>stroški v €</v>
          </cell>
          <cell r="G43">
            <v>26628.29</v>
          </cell>
          <cell r="H43">
            <v>24326.2</v>
          </cell>
          <cell r="I43">
            <v>15094.480000000003</v>
          </cell>
          <cell r="J43">
            <v>15599.829999999998</v>
          </cell>
          <cell r="K43">
            <v>20412.2</v>
          </cell>
          <cell r="L43">
            <v>0</v>
          </cell>
          <cell r="M43">
            <v>0</v>
          </cell>
          <cell r="N43">
            <v>0</v>
          </cell>
          <cell r="O43">
            <v>0</v>
          </cell>
          <cell r="P43">
            <v>0</v>
          </cell>
          <cell r="Q43">
            <v>0</v>
          </cell>
          <cell r="R43">
            <v>0</v>
          </cell>
          <cell r="S43" t="str">
            <v>stroški v €</v>
          </cell>
          <cell r="T43">
            <v>28183.95</v>
          </cell>
          <cell r="U43">
            <v>21727.01</v>
          </cell>
          <cell r="V43">
            <v>21110.1</v>
          </cell>
          <cell r="W43">
            <v>19356.289999999997</v>
          </cell>
          <cell r="X43">
            <v>22594.337499999998</v>
          </cell>
          <cell r="Y43">
            <v>0</v>
          </cell>
          <cell r="Z43">
            <v>0</v>
          </cell>
          <cell r="AA43">
            <v>0</v>
          </cell>
          <cell r="AB43">
            <v>0</v>
          </cell>
          <cell r="AC43">
            <v>0</v>
          </cell>
        </row>
        <row r="44">
          <cell r="A44">
            <v>0</v>
          </cell>
          <cell r="D44">
            <v>0</v>
          </cell>
          <cell r="E44">
            <v>0</v>
          </cell>
          <cell r="F44">
            <v>0</v>
          </cell>
          <cell r="G44">
            <v>0</v>
          </cell>
          <cell r="H44">
            <v>0</v>
          </cell>
          <cell r="I44">
            <v>0</v>
          </cell>
          <cell r="J44">
            <v>0</v>
          </cell>
          <cell r="K44">
            <v>0</v>
          </cell>
          <cell r="L44">
            <v>0</v>
          </cell>
          <cell r="M44">
            <v>0</v>
          </cell>
          <cell r="N44">
            <v>0</v>
          </cell>
          <cell r="O44">
            <v>0</v>
          </cell>
          <cell r="P44">
            <v>0</v>
          </cell>
          <cell r="R44">
            <v>0</v>
          </cell>
          <cell r="S44">
            <v>0</v>
          </cell>
          <cell r="T44">
            <v>0</v>
          </cell>
          <cell r="U44">
            <v>0</v>
          </cell>
          <cell r="V44">
            <v>0</v>
          </cell>
          <cell r="W44">
            <v>0</v>
          </cell>
          <cell r="X44">
            <v>0</v>
          </cell>
          <cell r="Y44">
            <v>0</v>
          </cell>
          <cell r="Z44">
            <v>0</v>
          </cell>
          <cell r="AA44">
            <v>0</v>
          </cell>
          <cell r="AB44">
            <v>0</v>
          </cell>
          <cell r="AC44">
            <v>0</v>
          </cell>
        </row>
        <row r="45">
          <cell r="A45" t="str">
            <v>OB13</v>
          </cell>
          <cell r="B45" t="str">
            <v>VVZ Sonček</v>
          </cell>
          <cell r="C45" t="str">
            <v>Cesta 1. maja 17, 4000 Kranj</v>
          </cell>
          <cell r="D45">
            <v>364.5</v>
          </cell>
          <cell r="E45">
            <v>1950</v>
          </cell>
          <cell r="F45" t="str">
            <v>raba v kWh</v>
          </cell>
          <cell r="G45">
            <v>12200</v>
          </cell>
          <cell r="H45">
            <v>12151</v>
          </cell>
          <cell r="I45">
            <v>11371</v>
          </cell>
          <cell r="J45">
            <v>18212</v>
          </cell>
          <cell r="K45">
            <v>13483.5</v>
          </cell>
          <cell r="L45">
            <v>36.991769547325106</v>
          </cell>
          <cell r="M45">
            <v>13483.5</v>
          </cell>
          <cell r="N45">
            <v>1407.39</v>
          </cell>
          <cell r="O45">
            <v>36.991769547325106</v>
          </cell>
          <cell r="P45">
            <v>104.3786850595172</v>
          </cell>
          <cell r="Q45">
            <v>0</v>
          </cell>
          <cell r="R45" t="str">
            <v>ELKO</v>
          </cell>
          <cell r="S45" t="str">
            <v>raba v kWh</v>
          </cell>
          <cell r="T45">
            <v>68544</v>
          </cell>
          <cell r="U45">
            <v>59340.959999999999</v>
          </cell>
          <cell r="V45">
            <v>23022.720000000001</v>
          </cell>
          <cell r="W45">
            <v>70590.240000000005</v>
          </cell>
          <cell r="X45">
            <v>55374.479999999996</v>
          </cell>
          <cell r="Y45">
            <v>151.91901234567899</v>
          </cell>
          <cell r="Z45">
            <v>58443.932465979997</v>
          </cell>
          <cell r="AA45">
            <v>4284.041165828985</v>
          </cell>
          <cell r="AB45">
            <v>160.34000676537721</v>
          </cell>
          <cell r="AC45">
            <v>73.301726715989034</v>
          </cell>
          <cell r="AD45">
            <v>350.66359479587999</v>
          </cell>
          <cell r="AE45">
            <v>4634.7047606248652</v>
          </cell>
        </row>
        <row r="46">
          <cell r="A46">
            <v>0</v>
          </cell>
          <cell r="B46">
            <v>0</v>
          </cell>
          <cell r="C46">
            <v>0</v>
          </cell>
          <cell r="D46">
            <v>0</v>
          </cell>
          <cell r="E46">
            <v>0</v>
          </cell>
          <cell r="F46" t="str">
            <v>stroški v €</v>
          </cell>
          <cell r="G46">
            <v>1760.63</v>
          </cell>
          <cell r="H46">
            <v>1589.6499999999996</v>
          </cell>
          <cell r="I46">
            <v>984.19000000000017</v>
          </cell>
          <cell r="J46">
            <v>1295.0900000000001</v>
          </cell>
          <cell r="K46">
            <v>1407.39</v>
          </cell>
          <cell r="L46">
            <v>0</v>
          </cell>
          <cell r="M46">
            <v>0</v>
          </cell>
          <cell r="N46">
            <v>0</v>
          </cell>
          <cell r="O46">
            <v>0</v>
          </cell>
          <cell r="P46">
            <v>0</v>
          </cell>
          <cell r="Q46">
            <v>0</v>
          </cell>
          <cell r="R46">
            <v>0</v>
          </cell>
          <cell r="S46" t="str">
            <v>stroški v €</v>
          </cell>
          <cell r="T46">
            <v>5580.71</v>
          </cell>
          <cell r="U46">
            <v>4734.76</v>
          </cell>
          <cell r="V46">
            <v>1340.62</v>
          </cell>
          <cell r="W46">
            <v>4580.09</v>
          </cell>
          <cell r="X46">
            <v>4059.0450000000001</v>
          </cell>
          <cell r="Y46">
            <v>0</v>
          </cell>
          <cell r="Z46">
            <v>0</v>
          </cell>
          <cell r="AA46">
            <v>0</v>
          </cell>
          <cell r="AB46">
            <v>0</v>
          </cell>
          <cell r="AC46">
            <v>0</v>
          </cell>
        </row>
        <row r="47">
          <cell r="A47">
            <v>0</v>
          </cell>
          <cell r="D47">
            <v>0</v>
          </cell>
          <cell r="E47">
            <v>0</v>
          </cell>
          <cell r="F47">
            <v>0</v>
          </cell>
          <cell r="G47">
            <v>0</v>
          </cell>
          <cell r="H47">
            <v>0</v>
          </cell>
          <cell r="I47">
            <v>0</v>
          </cell>
          <cell r="J47">
            <v>0</v>
          </cell>
          <cell r="K47">
            <v>0</v>
          </cell>
          <cell r="L47">
            <v>0</v>
          </cell>
          <cell r="M47">
            <v>0</v>
          </cell>
          <cell r="N47">
            <v>0</v>
          </cell>
          <cell r="O47">
            <v>0</v>
          </cell>
          <cell r="P47">
            <v>0</v>
          </cell>
          <cell r="R47">
            <v>0</v>
          </cell>
          <cell r="S47">
            <v>0</v>
          </cell>
          <cell r="T47">
            <v>0</v>
          </cell>
          <cell r="U47">
            <v>0</v>
          </cell>
          <cell r="V47">
            <v>0</v>
          </cell>
          <cell r="W47">
            <v>0</v>
          </cell>
          <cell r="X47">
            <v>0</v>
          </cell>
          <cell r="Y47">
            <v>0</v>
          </cell>
          <cell r="Z47">
            <v>0</v>
          </cell>
          <cell r="AA47">
            <v>0</v>
          </cell>
          <cell r="AB47">
            <v>0</v>
          </cell>
          <cell r="AC47">
            <v>0</v>
          </cell>
        </row>
        <row r="48">
          <cell r="A48" t="str">
            <v>OB14</v>
          </cell>
          <cell r="B48" t="str">
            <v>OŠ Orehek</v>
          </cell>
          <cell r="C48" t="str">
            <v>Zasavska cesta 53a, 4000 Kranj</v>
          </cell>
          <cell r="D48">
            <v>4449</v>
          </cell>
          <cell r="E48">
            <v>1988</v>
          </cell>
          <cell r="F48" t="str">
            <v>raba v kWh</v>
          </cell>
          <cell r="G48">
            <v>170919</v>
          </cell>
          <cell r="H48">
            <v>178746</v>
          </cell>
          <cell r="I48">
            <v>149834</v>
          </cell>
          <cell r="J48">
            <v>194998</v>
          </cell>
          <cell r="K48">
            <v>173624.25</v>
          </cell>
          <cell r="L48">
            <v>39.025455158462577</v>
          </cell>
          <cell r="M48">
            <v>173624.25</v>
          </cell>
          <cell r="N48">
            <v>18507.134999999995</v>
          </cell>
          <cell r="O48">
            <v>39.025455158462577</v>
          </cell>
          <cell r="P48">
            <v>106.5930306394412</v>
          </cell>
          <cell r="Q48">
            <v>0</v>
          </cell>
          <cell r="R48" t="str">
            <v>ZP</v>
          </cell>
          <cell r="S48" t="str">
            <v>raba v kWh</v>
          </cell>
          <cell r="T48">
            <v>483412.95999999996</v>
          </cell>
          <cell r="U48">
            <v>510606.29599999997</v>
          </cell>
          <cell r="V48">
            <v>611221.12</v>
          </cell>
          <cell r="W48">
            <v>348864.63999999996</v>
          </cell>
          <cell r="X48">
            <v>535080.12533333327</v>
          </cell>
          <cell r="Y48">
            <v>120.26975170450287</v>
          </cell>
          <cell r="Z48">
            <v>564740.05189519515</v>
          </cell>
          <cell r="AA48">
            <v>32278.497386593368</v>
          </cell>
          <cell r="AB48">
            <v>126.93640186450779</v>
          </cell>
          <cell r="AC48">
            <v>57.156380671551226</v>
          </cell>
          <cell r="AD48">
            <v>3388.440311371171</v>
          </cell>
          <cell r="AE48">
            <v>3388.440311371171</v>
          </cell>
        </row>
        <row r="49">
          <cell r="A49">
            <v>0</v>
          </cell>
          <cell r="B49">
            <v>0</v>
          </cell>
          <cell r="C49">
            <v>0</v>
          </cell>
          <cell r="D49">
            <v>0</v>
          </cell>
          <cell r="E49">
            <v>0</v>
          </cell>
          <cell r="F49" t="str">
            <v>stroški v €</v>
          </cell>
          <cell r="G49">
            <v>19859.75</v>
          </cell>
          <cell r="H49">
            <v>19094.789999999997</v>
          </cell>
          <cell r="I49">
            <v>16857.309999999998</v>
          </cell>
          <cell r="J49">
            <v>18216.690000000002</v>
          </cell>
          <cell r="K49">
            <v>18507.134999999998</v>
          </cell>
          <cell r="L49">
            <v>0</v>
          </cell>
          <cell r="M49">
            <v>0</v>
          </cell>
          <cell r="N49">
            <v>0</v>
          </cell>
          <cell r="O49">
            <v>0</v>
          </cell>
          <cell r="P49">
            <v>0</v>
          </cell>
          <cell r="Q49">
            <v>0</v>
          </cell>
          <cell r="R49">
            <v>0</v>
          </cell>
          <cell r="S49" t="str">
            <v>stroški v €</v>
          </cell>
          <cell r="T49">
            <v>30195.02</v>
          </cell>
          <cell r="U49">
            <v>28817.15</v>
          </cell>
          <cell r="V49">
            <v>32737.560000000005</v>
          </cell>
          <cell r="W49">
            <v>17183.91</v>
          </cell>
          <cell r="X49">
            <v>30583.243333333336</v>
          </cell>
          <cell r="Y49">
            <v>0</v>
          </cell>
          <cell r="Z49">
            <v>0</v>
          </cell>
          <cell r="AA49">
            <v>0</v>
          </cell>
          <cell r="AB49">
            <v>0</v>
          </cell>
          <cell r="AC49">
            <v>0</v>
          </cell>
        </row>
        <row r="50">
          <cell r="A50">
            <v>0</v>
          </cell>
          <cell r="D50">
            <v>0</v>
          </cell>
          <cell r="E50">
            <v>0</v>
          </cell>
          <cell r="F50">
            <v>0</v>
          </cell>
          <cell r="G50">
            <v>0</v>
          </cell>
          <cell r="H50">
            <v>0</v>
          </cell>
          <cell r="I50">
            <v>0</v>
          </cell>
          <cell r="J50">
            <v>0</v>
          </cell>
          <cell r="K50">
            <v>0</v>
          </cell>
          <cell r="L50">
            <v>0</v>
          </cell>
          <cell r="M50">
            <v>0</v>
          </cell>
          <cell r="N50">
            <v>0</v>
          </cell>
          <cell r="O50">
            <v>0</v>
          </cell>
          <cell r="P50">
            <v>0</v>
          </cell>
          <cell r="R50">
            <v>0</v>
          </cell>
          <cell r="S50">
            <v>0</v>
          </cell>
          <cell r="T50">
            <v>0</v>
          </cell>
          <cell r="U50">
            <v>0</v>
          </cell>
          <cell r="V50">
            <v>0</v>
          </cell>
          <cell r="W50">
            <v>0</v>
          </cell>
          <cell r="X50">
            <v>0</v>
          </cell>
          <cell r="Y50">
            <v>0</v>
          </cell>
          <cell r="Z50">
            <v>0</v>
          </cell>
          <cell r="AA50">
            <v>0</v>
          </cell>
          <cell r="AB50">
            <v>0</v>
          </cell>
          <cell r="AC50">
            <v>0</v>
          </cell>
        </row>
        <row r="51">
          <cell r="A51" t="str">
            <v>OB15</v>
          </cell>
          <cell r="B51" t="str">
            <v>OŠ Simona Jenka</v>
          </cell>
          <cell r="C51" t="str">
            <v>Ulica XXXI. divizije 7A, 4000 Kranj</v>
          </cell>
          <cell r="D51">
            <v>3282</v>
          </cell>
          <cell r="E51">
            <v>1974</v>
          </cell>
          <cell r="F51" t="str">
            <v>raba v kWh</v>
          </cell>
          <cell r="G51">
            <v>147988.01</v>
          </cell>
          <cell r="H51">
            <v>144516.07</v>
          </cell>
          <cell r="I51">
            <v>138957.32999999999</v>
          </cell>
          <cell r="J51">
            <v>145102.70000000001</v>
          </cell>
          <cell r="K51">
            <v>144141.02750000003</v>
          </cell>
          <cell r="L51">
            <v>43.918655545399155</v>
          </cell>
          <cell r="M51">
            <v>144141.02750000003</v>
          </cell>
          <cell r="N51">
            <v>16672.425000000003</v>
          </cell>
          <cell r="O51">
            <v>43.918655545399155</v>
          </cell>
          <cell r="P51">
            <v>115.66744936655873</v>
          </cell>
          <cell r="Q51">
            <v>0</v>
          </cell>
          <cell r="R51" t="str">
            <v>ZP</v>
          </cell>
          <cell r="S51" t="str">
            <v>raba v kWh</v>
          </cell>
          <cell r="T51">
            <v>529968.47999999986</v>
          </cell>
          <cell r="U51">
            <v>433044.95999999996</v>
          </cell>
          <cell r="V51">
            <v>502724.16000000003</v>
          </cell>
          <cell r="W51">
            <v>319207.84000000008</v>
          </cell>
          <cell r="X51">
            <v>446236.36</v>
          </cell>
          <cell r="Y51">
            <v>135.96476538695916</v>
          </cell>
          <cell r="Z51">
            <v>470971.60438716062</v>
          </cell>
          <cell r="AA51">
            <v>41033.379538382855</v>
          </cell>
          <cell r="AB51">
            <v>143.50140292113363</v>
          </cell>
          <cell r="AC51">
            <v>87.124954362750728</v>
          </cell>
          <cell r="AD51">
            <v>2825.8296263229636</v>
          </cell>
          <cell r="AE51">
            <v>43859.209164705819</v>
          </cell>
        </row>
        <row r="52">
          <cell r="A52">
            <v>0</v>
          </cell>
          <cell r="B52">
            <v>0</v>
          </cell>
          <cell r="C52">
            <v>0</v>
          </cell>
          <cell r="D52">
            <v>0</v>
          </cell>
          <cell r="E52">
            <v>0</v>
          </cell>
          <cell r="F52" t="str">
            <v>stroški v €</v>
          </cell>
          <cell r="G52">
            <v>17677.660000000003</v>
          </cell>
          <cell r="H52">
            <v>16403.059999999998</v>
          </cell>
          <cell r="I52">
            <v>15641.260000000002</v>
          </cell>
          <cell r="J52">
            <v>16967.72</v>
          </cell>
          <cell r="K52">
            <v>16672.425000000003</v>
          </cell>
          <cell r="L52">
            <v>0</v>
          </cell>
          <cell r="M52">
            <v>0</v>
          </cell>
          <cell r="N52">
            <v>0</v>
          </cell>
          <cell r="O52">
            <v>0</v>
          </cell>
          <cell r="P52">
            <v>0</v>
          </cell>
          <cell r="Q52">
            <v>0</v>
          </cell>
          <cell r="R52">
            <v>0</v>
          </cell>
          <cell r="S52" t="str">
            <v>stroški v €</v>
          </cell>
          <cell r="T52">
            <v>40460.99</v>
          </cell>
          <cell r="U52">
            <v>38102.58</v>
          </cell>
          <cell r="V52">
            <v>37043.620000000003</v>
          </cell>
          <cell r="W52">
            <v>39906.1</v>
          </cell>
          <cell r="X52">
            <v>38878.322500000002</v>
          </cell>
          <cell r="Y52">
            <v>0</v>
          </cell>
          <cell r="Z52">
            <v>0</v>
          </cell>
          <cell r="AA52">
            <v>0</v>
          </cell>
          <cell r="AB52">
            <v>0</v>
          </cell>
          <cell r="AC52">
            <v>0</v>
          </cell>
        </row>
        <row r="53">
          <cell r="A53">
            <v>0</v>
          </cell>
          <cell r="D53">
            <v>0</v>
          </cell>
          <cell r="E53">
            <v>0</v>
          </cell>
          <cell r="F53">
            <v>0</v>
          </cell>
          <cell r="G53">
            <v>0</v>
          </cell>
          <cell r="H53">
            <v>0</v>
          </cell>
          <cell r="I53">
            <v>0</v>
          </cell>
          <cell r="J53">
            <v>0</v>
          </cell>
          <cell r="K53">
            <v>0</v>
          </cell>
          <cell r="L53">
            <v>0</v>
          </cell>
          <cell r="M53">
            <v>0</v>
          </cell>
          <cell r="N53">
            <v>0</v>
          </cell>
          <cell r="O53">
            <v>0</v>
          </cell>
          <cell r="P53">
            <v>0</v>
          </cell>
          <cell r="R53">
            <v>0</v>
          </cell>
          <cell r="S53">
            <v>0</v>
          </cell>
          <cell r="T53">
            <v>0</v>
          </cell>
          <cell r="U53">
            <v>0</v>
          </cell>
          <cell r="V53">
            <v>0</v>
          </cell>
          <cell r="W53">
            <v>0</v>
          </cell>
          <cell r="X53">
            <v>0</v>
          </cell>
          <cell r="Y53">
            <v>0</v>
          </cell>
          <cell r="Z53">
            <v>0</v>
          </cell>
          <cell r="AA53">
            <v>0</v>
          </cell>
          <cell r="AB53">
            <v>0</v>
          </cell>
          <cell r="AC53">
            <v>0</v>
          </cell>
        </row>
        <row r="54">
          <cell r="A54" t="str">
            <v>OB16</v>
          </cell>
          <cell r="B54" t="str">
            <v>OŠ Simona Jenka - Center</v>
          </cell>
          <cell r="C54" t="str">
            <v>Komenskega ulica 2, 4000 Kranj</v>
          </cell>
          <cell r="D54">
            <v>2138</v>
          </cell>
          <cell r="E54">
            <v>1938</v>
          </cell>
          <cell r="F54" t="str">
            <v>raba v kWh</v>
          </cell>
          <cell r="G54">
            <v>39338</v>
          </cell>
          <cell r="H54">
            <v>42725</v>
          </cell>
          <cell r="I54">
            <v>39134</v>
          </cell>
          <cell r="J54">
            <v>44751</v>
          </cell>
          <cell r="K54">
            <v>41487</v>
          </cell>
          <cell r="L54">
            <v>19.404583723105706</v>
          </cell>
          <cell r="M54">
            <v>41487</v>
          </cell>
          <cell r="N54">
            <v>5367.9274999999998</v>
          </cell>
          <cell r="O54">
            <v>19.404583723105706</v>
          </cell>
          <cell r="P54">
            <v>129.38818184009449</v>
          </cell>
          <cell r="Q54">
            <v>0</v>
          </cell>
          <cell r="R54" t="str">
            <v>ZP</v>
          </cell>
          <cell r="S54" t="str">
            <v>raba v kWh</v>
          </cell>
          <cell r="T54">
            <v>457924.32</v>
          </cell>
          <cell r="U54">
            <v>228846.24</v>
          </cell>
          <cell r="V54">
            <v>241920</v>
          </cell>
          <cell r="W54">
            <v>483436.79999999999</v>
          </cell>
          <cell r="X54">
            <v>353031.84</v>
          </cell>
          <cell r="Y54">
            <v>165.12246959775493</v>
          </cell>
          <cell r="Z54">
            <v>372600.68203440751</v>
          </cell>
          <cell r="AA54">
            <v>26623.226435631692</v>
          </cell>
          <cell r="AB54">
            <v>174.27534239214569</v>
          </cell>
          <cell r="AC54">
            <v>71.452436131539855</v>
          </cell>
          <cell r="AD54">
            <v>2235.6040922064449</v>
          </cell>
          <cell r="AE54">
            <v>28858.830527838138</v>
          </cell>
        </row>
        <row r="55">
          <cell r="A55">
            <v>0</v>
          </cell>
          <cell r="B55">
            <v>0</v>
          </cell>
          <cell r="C55">
            <v>0</v>
          </cell>
          <cell r="D55">
            <v>0</v>
          </cell>
          <cell r="E55">
            <v>0</v>
          </cell>
          <cell r="F55" t="str">
            <v>stroški v €</v>
          </cell>
          <cell r="G55">
            <v>5358.98</v>
          </cell>
          <cell r="H55">
            <v>5361.97</v>
          </cell>
          <cell r="I55">
            <v>5008.0399999999991</v>
          </cell>
          <cell r="J55">
            <v>5742.72</v>
          </cell>
          <cell r="K55">
            <v>5367.9274999999998</v>
          </cell>
          <cell r="L55">
            <v>0</v>
          </cell>
          <cell r="M55">
            <v>0</v>
          </cell>
          <cell r="N55">
            <v>0</v>
          </cell>
          <cell r="O55">
            <v>0</v>
          </cell>
          <cell r="P55">
            <v>0</v>
          </cell>
          <cell r="Q55">
            <v>0</v>
          </cell>
          <cell r="R55">
            <v>0</v>
          </cell>
          <cell r="S55" t="str">
            <v>stroški v €</v>
          </cell>
          <cell r="T55">
            <v>37505.199999999997</v>
          </cell>
          <cell r="U55">
            <v>18139.22</v>
          </cell>
          <cell r="V55">
            <v>16202.92</v>
          </cell>
          <cell r="W55">
            <v>29052.6</v>
          </cell>
          <cell r="X55">
            <v>25224.985000000001</v>
          </cell>
          <cell r="Y55">
            <v>0</v>
          </cell>
          <cell r="Z55">
            <v>0</v>
          </cell>
          <cell r="AA55">
            <v>0</v>
          </cell>
          <cell r="AB55">
            <v>0</v>
          </cell>
          <cell r="AC55">
            <v>0</v>
          </cell>
        </row>
        <row r="56">
          <cell r="A56">
            <v>0</v>
          </cell>
          <cell r="D56">
            <v>0</v>
          </cell>
          <cell r="E56">
            <v>0</v>
          </cell>
          <cell r="F56">
            <v>0</v>
          </cell>
          <cell r="G56">
            <v>0</v>
          </cell>
          <cell r="H56">
            <v>0</v>
          </cell>
          <cell r="I56">
            <v>0</v>
          </cell>
          <cell r="J56">
            <v>0</v>
          </cell>
          <cell r="K56">
            <v>0</v>
          </cell>
          <cell r="L56">
            <v>0</v>
          </cell>
          <cell r="M56">
            <v>0</v>
          </cell>
          <cell r="N56">
            <v>0</v>
          </cell>
          <cell r="O56">
            <v>0</v>
          </cell>
          <cell r="P56">
            <v>0</v>
          </cell>
          <cell r="R56">
            <v>0</v>
          </cell>
          <cell r="S56">
            <v>0</v>
          </cell>
          <cell r="T56">
            <v>0</v>
          </cell>
          <cell r="U56">
            <v>0</v>
          </cell>
          <cell r="V56">
            <v>0</v>
          </cell>
          <cell r="W56">
            <v>0</v>
          </cell>
          <cell r="X56">
            <v>0</v>
          </cell>
          <cell r="Y56">
            <v>0</v>
          </cell>
          <cell r="Z56">
            <v>0</v>
          </cell>
          <cell r="AA56">
            <v>0</v>
          </cell>
          <cell r="AB56">
            <v>0</v>
          </cell>
          <cell r="AC56">
            <v>0</v>
          </cell>
        </row>
        <row r="57">
          <cell r="A57" t="str">
            <v>OB17</v>
          </cell>
          <cell r="B57" t="str">
            <v>OŠ Simona Jenka - Primskovo</v>
          </cell>
          <cell r="C57" t="str">
            <v>Zadružna ulica 11, 4000 Kranj</v>
          </cell>
          <cell r="D57">
            <v>1459</v>
          </cell>
          <cell r="E57">
            <v>1980</v>
          </cell>
          <cell r="F57" t="str">
            <v>raba v kWh</v>
          </cell>
          <cell r="G57">
            <v>56848</v>
          </cell>
          <cell r="H57">
            <v>57712</v>
          </cell>
          <cell r="I57">
            <v>55835</v>
          </cell>
          <cell r="J57">
            <v>54921</v>
          </cell>
          <cell r="K57">
            <v>56329</v>
          </cell>
          <cell r="L57">
            <v>38.607950651130913</v>
          </cell>
          <cell r="M57">
            <v>56329</v>
          </cell>
          <cell r="N57">
            <v>7889.5924999999988</v>
          </cell>
          <cell r="O57">
            <v>38.607950651130913</v>
          </cell>
          <cell r="P57">
            <v>140.0627119245859</v>
          </cell>
          <cell r="Q57">
            <v>0</v>
          </cell>
          <cell r="R57" t="str">
            <v>ELKO</v>
          </cell>
          <cell r="S57" t="str">
            <v>raba v kWh</v>
          </cell>
          <cell r="T57">
            <v>201640.32000000001</v>
          </cell>
          <cell r="U57">
            <v>100830.24</v>
          </cell>
          <cell r="V57">
            <v>241980.48</v>
          </cell>
          <cell r="W57">
            <v>229491.36000000002</v>
          </cell>
          <cell r="X57">
            <v>193485.6</v>
          </cell>
          <cell r="Y57">
            <v>132.61521590130226</v>
          </cell>
          <cell r="Z57">
            <v>204210.66418212181</v>
          </cell>
          <cell r="AA57">
            <v>14212.473549985214</v>
          </cell>
          <cell r="AB57">
            <v>139.96618518308554</v>
          </cell>
          <cell r="AC57">
            <v>69.597117304853683</v>
          </cell>
          <cell r="AD57">
            <v>1225.2639850927308</v>
          </cell>
          <cell r="AE57">
            <v>1225.2639850927308</v>
          </cell>
        </row>
        <row r="58">
          <cell r="A58">
            <v>0</v>
          </cell>
          <cell r="B58">
            <v>0</v>
          </cell>
          <cell r="C58">
            <v>0</v>
          </cell>
          <cell r="D58">
            <v>0</v>
          </cell>
          <cell r="E58">
            <v>0</v>
          </cell>
          <cell r="F58" t="str">
            <v>stroški v €</v>
          </cell>
          <cell r="G58">
            <v>8070.1399999999985</v>
          </cell>
          <cell r="H58">
            <v>7899.9699999999993</v>
          </cell>
          <cell r="I58">
            <v>7989.69</v>
          </cell>
          <cell r="J58">
            <v>7598.5700000000006</v>
          </cell>
          <cell r="K58">
            <v>7889.5924999999988</v>
          </cell>
          <cell r="L58">
            <v>0</v>
          </cell>
          <cell r="M58">
            <v>0</v>
          </cell>
          <cell r="N58">
            <v>0</v>
          </cell>
          <cell r="O58">
            <v>0</v>
          </cell>
          <cell r="P58">
            <v>0</v>
          </cell>
          <cell r="Q58">
            <v>0</v>
          </cell>
          <cell r="R58">
            <v>0</v>
          </cell>
          <cell r="S58" t="str">
            <v>stroški v €</v>
          </cell>
          <cell r="T58">
            <v>16247.47</v>
          </cell>
          <cell r="U58">
            <v>8024.46</v>
          </cell>
          <cell r="V58">
            <v>16111.6</v>
          </cell>
          <cell r="W58">
            <v>13480.63</v>
          </cell>
          <cell r="X58">
            <v>13466.039999999999</v>
          </cell>
          <cell r="Y58">
            <v>0</v>
          </cell>
          <cell r="Z58">
            <v>0</v>
          </cell>
          <cell r="AA58">
            <v>0</v>
          </cell>
          <cell r="AB58">
            <v>0</v>
          </cell>
          <cell r="AC58">
            <v>0</v>
          </cell>
        </row>
        <row r="59">
          <cell r="A59">
            <v>0</v>
          </cell>
          <cell r="D59">
            <v>0</v>
          </cell>
          <cell r="E59">
            <v>0</v>
          </cell>
          <cell r="F59">
            <v>0</v>
          </cell>
          <cell r="G59">
            <v>0</v>
          </cell>
          <cell r="H59">
            <v>0</v>
          </cell>
          <cell r="I59">
            <v>0</v>
          </cell>
          <cell r="J59">
            <v>0</v>
          </cell>
          <cell r="K59">
            <v>0</v>
          </cell>
          <cell r="L59">
            <v>0</v>
          </cell>
          <cell r="M59">
            <v>0</v>
          </cell>
          <cell r="N59">
            <v>0</v>
          </cell>
          <cell r="O59">
            <v>0</v>
          </cell>
          <cell r="P59">
            <v>0</v>
          </cell>
          <cell r="R59">
            <v>0</v>
          </cell>
          <cell r="S59">
            <v>0</v>
          </cell>
          <cell r="T59">
            <v>0</v>
          </cell>
          <cell r="U59">
            <v>0</v>
          </cell>
          <cell r="V59">
            <v>0</v>
          </cell>
          <cell r="W59">
            <v>0</v>
          </cell>
          <cell r="X59">
            <v>0</v>
          </cell>
          <cell r="Y59">
            <v>0</v>
          </cell>
          <cell r="Z59">
            <v>0</v>
          </cell>
          <cell r="AA59">
            <v>0</v>
          </cell>
          <cell r="AB59">
            <v>0</v>
          </cell>
          <cell r="AC59">
            <v>0</v>
          </cell>
        </row>
        <row r="60">
          <cell r="A60" t="str">
            <v>OB18</v>
          </cell>
          <cell r="B60" t="str">
            <v>VVZ Mojca</v>
          </cell>
          <cell r="C60" t="str">
            <v>Ulica Nikole Tesle 2, 4000 Kranj</v>
          </cell>
          <cell r="D60">
            <v>1164</v>
          </cell>
          <cell r="E60">
            <v>1981</v>
          </cell>
          <cell r="F60" t="str">
            <v>raba v kWh</v>
          </cell>
          <cell r="G60">
            <v>70122</v>
          </cell>
          <cell r="H60">
            <v>59050</v>
          </cell>
          <cell r="I60">
            <v>55798</v>
          </cell>
          <cell r="J60">
            <v>61626</v>
          </cell>
          <cell r="K60">
            <v>61649</v>
          </cell>
          <cell r="L60">
            <v>52.963058419243985</v>
          </cell>
          <cell r="M60">
            <v>61649</v>
          </cell>
          <cell r="N60">
            <v>6192.8074999999999</v>
          </cell>
          <cell r="O60">
            <v>52.963058419243985</v>
          </cell>
          <cell r="P60">
            <v>100.45268374182874</v>
          </cell>
          <cell r="Q60">
            <v>0</v>
          </cell>
          <cell r="R60" t="str">
            <v>ZP</v>
          </cell>
          <cell r="S60" t="str">
            <v>raba v kWh</v>
          </cell>
          <cell r="T60">
            <v>266934</v>
          </cell>
          <cell r="U60">
            <v>207570</v>
          </cell>
          <cell r="V60">
            <v>232530</v>
          </cell>
          <cell r="W60">
            <v>224250</v>
          </cell>
          <cell r="X60">
            <v>232821</v>
          </cell>
          <cell r="Y60">
            <v>200.01804123711341</v>
          </cell>
          <cell r="Z60">
            <v>245726.4573980998</v>
          </cell>
          <cell r="AA60">
            <v>14588.109292192381</v>
          </cell>
          <cell r="AB60">
            <v>211.10520395025756</v>
          </cell>
          <cell r="AC60">
            <v>59.367271423110466</v>
          </cell>
          <cell r="AD60">
            <v>1474.3587443885988</v>
          </cell>
          <cell r="AE60">
            <v>16062.46803658098</v>
          </cell>
        </row>
        <row r="61">
          <cell r="A61">
            <v>0</v>
          </cell>
          <cell r="B61">
            <v>0</v>
          </cell>
          <cell r="C61">
            <v>0</v>
          </cell>
          <cell r="D61">
            <v>0</v>
          </cell>
          <cell r="E61">
            <v>0</v>
          </cell>
          <cell r="F61" t="str">
            <v>stroški v €</v>
          </cell>
          <cell r="G61">
            <v>9457.9299999999985</v>
          </cell>
          <cell r="H61">
            <v>6879.41</v>
          </cell>
          <cell r="I61">
            <v>4025.05</v>
          </cell>
          <cell r="J61">
            <v>4408.84</v>
          </cell>
          <cell r="K61">
            <v>6192.8074999999999</v>
          </cell>
          <cell r="L61">
            <v>0</v>
          </cell>
          <cell r="M61">
            <v>0</v>
          </cell>
          <cell r="N61">
            <v>0</v>
          </cell>
          <cell r="O61">
            <v>0</v>
          </cell>
          <cell r="P61">
            <v>0</v>
          </cell>
          <cell r="Q61">
            <v>0</v>
          </cell>
          <cell r="R61">
            <v>0</v>
          </cell>
          <cell r="S61" t="str">
            <v>stroški v €</v>
          </cell>
          <cell r="T61">
            <v>23369.550000000003</v>
          </cell>
          <cell r="U61">
            <v>15091.070000000002</v>
          </cell>
          <cell r="V61">
            <v>290.23</v>
          </cell>
          <cell r="W61">
            <v>16536.939999999999</v>
          </cell>
          <cell r="X61">
            <v>13821.947500000002</v>
          </cell>
          <cell r="Y61">
            <v>0</v>
          </cell>
          <cell r="Z61">
            <v>0</v>
          </cell>
          <cell r="AA61">
            <v>0</v>
          </cell>
          <cell r="AB61">
            <v>0</v>
          </cell>
          <cell r="AC61">
            <v>0</v>
          </cell>
        </row>
        <row r="62">
          <cell r="A62">
            <v>0</v>
          </cell>
          <cell r="D62">
            <v>0</v>
          </cell>
          <cell r="E62">
            <v>0</v>
          </cell>
          <cell r="F62">
            <v>0</v>
          </cell>
          <cell r="G62">
            <v>0</v>
          </cell>
          <cell r="H62">
            <v>0</v>
          </cell>
          <cell r="I62">
            <v>0</v>
          </cell>
          <cell r="J62">
            <v>0</v>
          </cell>
          <cell r="K62">
            <v>0</v>
          </cell>
          <cell r="L62">
            <v>0</v>
          </cell>
          <cell r="M62">
            <v>0</v>
          </cell>
          <cell r="N62">
            <v>0</v>
          </cell>
          <cell r="O62">
            <v>0</v>
          </cell>
          <cell r="P62">
            <v>0</v>
          </cell>
          <cell r="R62">
            <v>0</v>
          </cell>
          <cell r="S62">
            <v>0</v>
          </cell>
          <cell r="T62">
            <v>0</v>
          </cell>
          <cell r="U62">
            <v>0</v>
          </cell>
          <cell r="V62">
            <v>0</v>
          </cell>
          <cell r="W62">
            <v>0</v>
          </cell>
          <cell r="X62">
            <v>0</v>
          </cell>
          <cell r="Y62">
            <v>0</v>
          </cell>
          <cell r="Z62">
            <v>0</v>
          </cell>
          <cell r="AA62">
            <v>0</v>
          </cell>
          <cell r="AB62">
            <v>0</v>
          </cell>
          <cell r="AC62">
            <v>0</v>
          </cell>
        </row>
        <row r="63">
          <cell r="A63" t="str">
            <v>OB19</v>
          </cell>
          <cell r="B63" t="str">
            <v>VVZ Živ Žav</v>
          </cell>
          <cell r="C63" t="str">
            <v>Jernejeva 14 , 4000 Kranj</v>
          </cell>
          <cell r="D63">
            <v>720</v>
          </cell>
          <cell r="E63">
            <v>1973</v>
          </cell>
          <cell r="F63" t="str">
            <v>raba v kWh</v>
          </cell>
          <cell r="G63">
            <v>22034</v>
          </cell>
          <cell r="H63">
            <v>21508</v>
          </cell>
          <cell r="I63">
            <v>21859</v>
          </cell>
          <cell r="J63">
            <v>23993</v>
          </cell>
          <cell r="K63">
            <v>22348.5</v>
          </cell>
          <cell r="L63">
            <v>31.039583333333333</v>
          </cell>
          <cell r="M63">
            <v>22348.5</v>
          </cell>
          <cell r="N63">
            <v>3745.335</v>
          </cell>
          <cell r="O63">
            <v>31.039583333333333</v>
          </cell>
          <cell r="P63">
            <v>167.58775756762199</v>
          </cell>
          <cell r="Q63">
            <v>0</v>
          </cell>
          <cell r="R63" t="str">
            <v>ELKO</v>
          </cell>
          <cell r="S63" t="str">
            <v>raba v kWh</v>
          </cell>
          <cell r="T63">
            <v>151210.07999999999</v>
          </cell>
          <cell r="U63">
            <v>161280</v>
          </cell>
          <cell r="V63">
            <v>161834.4</v>
          </cell>
          <cell r="W63">
            <v>94500</v>
          </cell>
          <cell r="X63">
            <v>142206.12</v>
          </cell>
          <cell r="Y63">
            <v>197.5085</v>
          </cell>
          <cell r="Z63">
            <v>150088.72089686527</v>
          </cell>
          <cell r="AA63">
            <v>10791.249712657911</v>
          </cell>
          <cell r="AB63">
            <v>208.45655680120177</v>
          </cell>
          <cell r="AC63">
            <v>71.899138377448168</v>
          </cell>
          <cell r="AD63">
            <v>900.53232538119164</v>
          </cell>
          <cell r="AE63">
            <v>11691.782038039102</v>
          </cell>
        </row>
        <row r="64">
          <cell r="A64">
            <v>0</v>
          </cell>
          <cell r="B64">
            <v>0</v>
          </cell>
          <cell r="C64">
            <v>0</v>
          </cell>
          <cell r="D64">
            <v>0</v>
          </cell>
          <cell r="E64">
            <v>0</v>
          </cell>
          <cell r="F64" t="str">
            <v>stroški v €</v>
          </cell>
          <cell r="G64">
            <v>4115.16</v>
          </cell>
          <cell r="H64">
            <v>4011.73</v>
          </cell>
          <cell r="I64">
            <v>3689.0399999999995</v>
          </cell>
          <cell r="J64">
            <v>3165.41</v>
          </cell>
          <cell r="K64">
            <v>3745.3349999999996</v>
          </cell>
          <cell r="L64">
            <v>0</v>
          </cell>
          <cell r="M64">
            <v>0</v>
          </cell>
          <cell r="N64">
            <v>0</v>
          </cell>
          <cell r="O64">
            <v>0</v>
          </cell>
          <cell r="P64">
            <v>0</v>
          </cell>
          <cell r="Q64">
            <v>0</v>
          </cell>
          <cell r="R64">
            <v>0</v>
          </cell>
          <cell r="S64" t="str">
            <v>stroški v €</v>
          </cell>
          <cell r="T64">
            <v>12064.599999999999</v>
          </cell>
          <cell r="U64">
            <v>12892.45</v>
          </cell>
          <cell r="V64">
            <v>10154.219999999999</v>
          </cell>
          <cell r="W64">
            <v>5786.72</v>
          </cell>
          <cell r="X64">
            <v>10224.497499999999</v>
          </cell>
          <cell r="Y64">
            <v>0</v>
          </cell>
          <cell r="Z64">
            <v>0</v>
          </cell>
          <cell r="AA64">
            <v>0</v>
          </cell>
          <cell r="AB64">
            <v>0</v>
          </cell>
          <cell r="AC64">
            <v>0</v>
          </cell>
        </row>
        <row r="65">
          <cell r="A65">
            <v>0</v>
          </cell>
          <cell r="D65">
            <v>0</v>
          </cell>
          <cell r="E65">
            <v>0</v>
          </cell>
          <cell r="F65">
            <v>0</v>
          </cell>
          <cell r="G65">
            <v>0</v>
          </cell>
          <cell r="H65">
            <v>0</v>
          </cell>
          <cell r="I65">
            <v>0</v>
          </cell>
          <cell r="J65">
            <v>0</v>
          </cell>
          <cell r="K65">
            <v>0</v>
          </cell>
          <cell r="L65">
            <v>0</v>
          </cell>
          <cell r="M65">
            <v>0</v>
          </cell>
          <cell r="N65">
            <v>0</v>
          </cell>
          <cell r="O65">
            <v>0</v>
          </cell>
          <cell r="P65">
            <v>0</v>
          </cell>
          <cell r="R65">
            <v>0</v>
          </cell>
          <cell r="S65">
            <v>0</v>
          </cell>
          <cell r="T65">
            <v>0</v>
          </cell>
          <cell r="U65">
            <v>0</v>
          </cell>
          <cell r="V65">
            <v>0</v>
          </cell>
          <cell r="W65">
            <v>0</v>
          </cell>
          <cell r="X65">
            <v>0</v>
          </cell>
          <cell r="Y65">
            <v>0</v>
          </cell>
          <cell r="Z65">
            <v>0</v>
          </cell>
          <cell r="AA65">
            <v>0</v>
          </cell>
          <cell r="AB65">
            <v>0</v>
          </cell>
          <cell r="AC65">
            <v>0</v>
          </cell>
        </row>
        <row r="66">
          <cell r="A66" t="str">
            <v>OB20</v>
          </cell>
          <cell r="B66" t="str">
            <v>ZZŠK Pokriti olimpijski bazen</v>
          </cell>
          <cell r="C66" t="str">
            <v>Partizanska cesta 37, 4000 Kranj</v>
          </cell>
          <cell r="D66">
            <v>6345</v>
          </cell>
          <cell r="E66">
            <v>1995</v>
          </cell>
          <cell r="F66" t="str">
            <v>raba v kWh</v>
          </cell>
          <cell r="G66">
            <v>1790217</v>
          </cell>
          <cell r="H66">
            <v>1771889</v>
          </cell>
          <cell r="I66">
            <v>1757057</v>
          </cell>
          <cell r="J66">
            <v>1789811</v>
          </cell>
          <cell r="K66">
            <v>1777243.5</v>
          </cell>
          <cell r="L66">
            <v>280.10141843971633</v>
          </cell>
          <cell r="M66">
            <v>1777243.5</v>
          </cell>
          <cell r="N66">
            <v>147560.20000000001</v>
          </cell>
          <cell r="O66">
            <v>280.10141843971633</v>
          </cell>
          <cell r="P66">
            <v>83.027564877857202</v>
          </cell>
          <cell r="Q66">
            <v>0</v>
          </cell>
          <cell r="R66" t="str">
            <v>ZP</v>
          </cell>
          <cell r="S66" t="str">
            <v>raba v kWh</v>
          </cell>
          <cell r="T66">
            <v>763337.27999999991</v>
          </cell>
          <cell r="U66">
            <v>356010.72</v>
          </cell>
          <cell r="V66">
            <v>769492.15999999992</v>
          </cell>
          <cell r="W66">
            <v>510298.07999999996</v>
          </cell>
          <cell r="X66">
            <v>599784.55999999994</v>
          </cell>
          <cell r="Y66">
            <v>94.528693459416857</v>
          </cell>
          <cell r="Z66">
            <v>633031.10600365954</v>
          </cell>
          <cell r="AA66">
            <v>35914.479406298189</v>
          </cell>
          <cell r="AB66">
            <v>99.768495824059812</v>
          </cell>
          <cell r="AC66">
            <v>56.734146340812778</v>
          </cell>
          <cell r="AD66">
            <v>3798.1866360219574</v>
          </cell>
          <cell r="AE66">
            <v>3798.1866360219574</v>
          </cell>
        </row>
        <row r="67">
          <cell r="A67">
            <v>0</v>
          </cell>
          <cell r="B67">
            <v>0</v>
          </cell>
          <cell r="C67">
            <v>0</v>
          </cell>
          <cell r="D67">
            <v>0</v>
          </cell>
          <cell r="E67">
            <v>0</v>
          </cell>
          <cell r="F67" t="str">
            <v>stroški v €</v>
          </cell>
          <cell r="G67">
            <v>168046.3</v>
          </cell>
          <cell r="H67">
            <v>154075.48000000001</v>
          </cell>
          <cell r="I67">
            <v>141661.89000000001</v>
          </cell>
          <cell r="J67">
            <v>126457.13000000002</v>
          </cell>
          <cell r="K67">
            <v>147560.20000000001</v>
          </cell>
          <cell r="L67">
            <v>0</v>
          </cell>
          <cell r="M67">
            <v>0</v>
          </cell>
          <cell r="N67">
            <v>0</v>
          </cell>
          <cell r="O67">
            <v>0</v>
          </cell>
          <cell r="P67">
            <v>0</v>
          </cell>
          <cell r="Q67">
            <v>0</v>
          </cell>
          <cell r="R67">
            <v>0</v>
          </cell>
          <cell r="S67" t="str">
            <v>stroški v €</v>
          </cell>
          <cell r="T67">
            <v>49515.139999999992</v>
          </cell>
          <cell r="U67">
            <v>20965.189999999999</v>
          </cell>
          <cell r="V67">
            <v>39929.46</v>
          </cell>
          <cell r="W67">
            <v>25703.270000000004</v>
          </cell>
          <cell r="X67">
            <v>34028.264999999999</v>
          </cell>
          <cell r="Y67">
            <v>0</v>
          </cell>
          <cell r="Z67">
            <v>0</v>
          </cell>
          <cell r="AA67">
            <v>0</v>
          </cell>
          <cell r="AB67">
            <v>0</v>
          </cell>
          <cell r="AC67">
            <v>0</v>
          </cell>
        </row>
        <row r="68">
          <cell r="A68">
            <v>0</v>
          </cell>
          <cell r="D68">
            <v>0</v>
          </cell>
          <cell r="E68">
            <v>0</v>
          </cell>
          <cell r="F68">
            <v>0</v>
          </cell>
          <cell r="G68">
            <v>0</v>
          </cell>
          <cell r="H68">
            <v>0</v>
          </cell>
          <cell r="I68">
            <v>0</v>
          </cell>
          <cell r="J68">
            <v>0</v>
          </cell>
          <cell r="K68">
            <v>0</v>
          </cell>
          <cell r="L68">
            <v>0</v>
          </cell>
          <cell r="M68">
            <v>0</v>
          </cell>
          <cell r="N68">
            <v>0</v>
          </cell>
          <cell r="O68">
            <v>0</v>
          </cell>
          <cell r="P68">
            <v>0</v>
          </cell>
          <cell r="R68">
            <v>0</v>
          </cell>
          <cell r="S68">
            <v>0</v>
          </cell>
          <cell r="T68">
            <v>0</v>
          </cell>
          <cell r="U68">
            <v>0</v>
          </cell>
          <cell r="V68">
            <v>0</v>
          </cell>
          <cell r="W68">
            <v>0</v>
          </cell>
          <cell r="X68">
            <v>0</v>
          </cell>
          <cell r="Y68">
            <v>0</v>
          </cell>
          <cell r="Z68">
            <v>0</v>
          </cell>
          <cell r="AA68">
            <v>0</v>
          </cell>
          <cell r="AB68">
            <v>0</v>
          </cell>
          <cell r="AC68">
            <v>0</v>
          </cell>
        </row>
        <row r="69">
          <cell r="A69" t="str">
            <v>OB21</v>
          </cell>
          <cell r="B69" t="str">
            <v>Mestna knjižnica Kranj</v>
          </cell>
          <cell r="C69" t="str">
            <v>Gregorčičeva ulica 1, 4000 Kranj</v>
          </cell>
          <cell r="D69">
            <v>14261</v>
          </cell>
          <cell r="E69">
            <v>1972</v>
          </cell>
          <cell r="F69" t="str">
            <v>raba v kWh</v>
          </cell>
          <cell r="G69">
            <v>423963</v>
          </cell>
          <cell r="H69">
            <v>390233</v>
          </cell>
          <cell r="I69">
            <v>444305</v>
          </cell>
          <cell r="J69">
            <v>449467</v>
          </cell>
          <cell r="K69">
            <v>426992</v>
          </cell>
          <cell r="L69">
            <v>29.941238342332234</v>
          </cell>
          <cell r="M69">
            <v>426992</v>
          </cell>
          <cell r="N69">
            <v>37011.815000000002</v>
          </cell>
          <cell r="O69">
            <v>29.941238342332234</v>
          </cell>
          <cell r="P69">
            <v>86.680347641173611</v>
          </cell>
          <cell r="Q69">
            <v>0</v>
          </cell>
          <cell r="R69" t="str">
            <v>ZP</v>
          </cell>
          <cell r="S69" t="str">
            <v>raba v kWh</v>
          </cell>
          <cell r="T69">
            <v>464504.63999999996</v>
          </cell>
          <cell r="U69">
            <v>304779.83999999997</v>
          </cell>
          <cell r="V69">
            <v>435287.83999999997</v>
          </cell>
          <cell r="W69">
            <v>412782.88</v>
          </cell>
          <cell r="X69">
            <v>404338.79999999993</v>
          </cell>
          <cell r="Y69">
            <v>28.35276628567421</v>
          </cell>
          <cell r="Z69">
            <v>426751.62855841516</v>
          </cell>
          <cell r="AA69">
            <v>23188.690977170842</v>
          </cell>
          <cell r="AB69">
            <v>29.92438318199391</v>
          </cell>
          <cell r="AC69">
            <v>54.337674247438045</v>
          </cell>
          <cell r="AD69">
            <v>2560.5097713504911</v>
          </cell>
          <cell r="AE69">
            <v>25749.200748521333</v>
          </cell>
        </row>
        <row r="70">
          <cell r="A70">
            <v>0</v>
          </cell>
          <cell r="B70">
            <v>0</v>
          </cell>
          <cell r="C70">
            <v>0</v>
          </cell>
          <cell r="D70">
            <v>0</v>
          </cell>
          <cell r="E70">
            <v>0</v>
          </cell>
          <cell r="F70" t="str">
            <v>stroški v €</v>
          </cell>
          <cell r="G70">
            <v>39378.49</v>
          </cell>
          <cell r="H70">
            <v>33961.439999999995</v>
          </cell>
          <cell r="I70">
            <v>36693.469999999994</v>
          </cell>
          <cell r="J70">
            <v>38013.86</v>
          </cell>
          <cell r="K70">
            <v>37011.815000000002</v>
          </cell>
          <cell r="L70">
            <v>0</v>
          </cell>
          <cell r="M70">
            <v>0</v>
          </cell>
          <cell r="N70">
            <v>0</v>
          </cell>
          <cell r="O70">
            <v>0</v>
          </cell>
          <cell r="P70">
            <v>0</v>
          </cell>
          <cell r="Q70">
            <v>0</v>
          </cell>
          <cell r="R70">
            <v>0</v>
          </cell>
          <cell r="S70" t="str">
            <v>stroški v €</v>
          </cell>
          <cell r="T70">
            <v>27760.729999999996</v>
          </cell>
          <cell r="U70">
            <v>16893.330000000002</v>
          </cell>
          <cell r="V70">
            <v>23142.53</v>
          </cell>
          <cell r="W70">
            <v>20086.73</v>
          </cell>
          <cell r="X70">
            <v>21970.829999999998</v>
          </cell>
          <cell r="Y70">
            <v>0</v>
          </cell>
          <cell r="Z70">
            <v>0</v>
          </cell>
          <cell r="AA70">
            <v>0</v>
          </cell>
          <cell r="AB70">
            <v>0</v>
          </cell>
          <cell r="AC70">
            <v>0</v>
          </cell>
        </row>
        <row r="71">
          <cell r="A71">
            <v>0</v>
          </cell>
          <cell r="D71">
            <v>0</v>
          </cell>
          <cell r="E71">
            <v>0</v>
          </cell>
          <cell r="F71">
            <v>0</v>
          </cell>
          <cell r="G71">
            <v>0</v>
          </cell>
          <cell r="H71">
            <v>0</v>
          </cell>
          <cell r="I71">
            <v>0</v>
          </cell>
          <cell r="J71">
            <v>0</v>
          </cell>
          <cell r="K71">
            <v>0</v>
          </cell>
          <cell r="L71">
            <v>0</v>
          </cell>
          <cell r="M71">
            <v>0</v>
          </cell>
          <cell r="N71">
            <v>0</v>
          </cell>
          <cell r="O71">
            <v>0</v>
          </cell>
          <cell r="P71">
            <v>0</v>
          </cell>
          <cell r="R71">
            <v>0</v>
          </cell>
          <cell r="S71">
            <v>0</v>
          </cell>
          <cell r="T71">
            <v>0</v>
          </cell>
          <cell r="U71">
            <v>0</v>
          </cell>
          <cell r="V71">
            <v>0</v>
          </cell>
          <cell r="W71">
            <v>0</v>
          </cell>
          <cell r="X71">
            <v>0</v>
          </cell>
          <cell r="Y71">
            <v>0</v>
          </cell>
          <cell r="Z71">
            <v>0</v>
          </cell>
          <cell r="AA71">
            <v>0</v>
          </cell>
          <cell r="AB71">
            <v>0</v>
          </cell>
          <cell r="AC71">
            <v>0</v>
          </cell>
        </row>
        <row r="72">
          <cell r="A72" t="str">
            <v>OB22</v>
          </cell>
          <cell r="B72" t="str">
            <v>Zdravstveni dom Kranj</v>
          </cell>
          <cell r="C72" t="str">
            <v>Gosposvetska ulica 10, 4000 Kranj</v>
          </cell>
          <cell r="D72">
            <v>5508</v>
          </cell>
          <cell r="E72">
            <v>1959</v>
          </cell>
          <cell r="F72" t="str">
            <v>raba v kWh</v>
          </cell>
          <cell r="G72">
            <v>562773</v>
          </cell>
          <cell r="H72">
            <v>557925</v>
          </cell>
          <cell r="I72">
            <v>562152</v>
          </cell>
          <cell r="J72">
            <v>556794</v>
          </cell>
          <cell r="K72">
            <v>559911</v>
          </cell>
          <cell r="L72">
            <v>101.65413943355119</v>
          </cell>
          <cell r="M72">
            <v>559911</v>
          </cell>
          <cell r="N72">
            <v>48690.464999999997</v>
          </cell>
          <cell r="O72">
            <v>101.65413943355119</v>
          </cell>
          <cell r="P72">
            <v>86.961079528710812</v>
          </cell>
          <cell r="Q72">
            <v>0</v>
          </cell>
          <cell r="R72" t="str">
            <v>ELKO</v>
          </cell>
          <cell r="S72" t="str">
            <v>raba v kWh</v>
          </cell>
          <cell r="T72">
            <v>1742962.9700000002</v>
          </cell>
          <cell r="U72">
            <v>1434894.4000000001</v>
          </cell>
          <cell r="V72">
            <v>1447906.1800000002</v>
          </cell>
          <cell r="W72">
            <v>1441371.8800000001</v>
          </cell>
          <cell r="X72">
            <v>1516783.8575000002</v>
          </cell>
          <cell r="Y72">
            <v>275.37833287944812</v>
          </cell>
          <cell r="Z72">
            <v>1600860.4204178287</v>
          </cell>
          <cell r="AA72">
            <v>23694.456061511661</v>
          </cell>
          <cell r="AB72">
            <v>290.64277785363629</v>
          </cell>
          <cell r="AC72">
            <v>14.801075571177748</v>
          </cell>
          <cell r="AD72">
            <v>9605.1625225069729</v>
          </cell>
          <cell r="AE72">
            <v>33299.618584018637</v>
          </cell>
        </row>
        <row r="73">
          <cell r="A73">
            <v>0</v>
          </cell>
          <cell r="B73">
            <v>0</v>
          </cell>
          <cell r="C73">
            <v>0</v>
          </cell>
          <cell r="D73">
            <v>0</v>
          </cell>
          <cell r="E73">
            <v>0</v>
          </cell>
          <cell r="F73" t="str">
            <v>stroški v €</v>
          </cell>
          <cell r="G73">
            <v>0</v>
          </cell>
          <cell r="H73">
            <v>0</v>
          </cell>
          <cell r="I73">
            <v>42434.340000000004</v>
          </cell>
          <cell r="J73">
            <v>54946.59</v>
          </cell>
          <cell r="K73">
            <v>48690.464999999997</v>
          </cell>
          <cell r="L73">
            <v>0</v>
          </cell>
          <cell r="M73">
            <v>0</v>
          </cell>
          <cell r="N73">
            <v>0</v>
          </cell>
          <cell r="O73">
            <v>0</v>
          </cell>
          <cell r="P73">
            <v>0</v>
          </cell>
          <cell r="Q73">
            <v>0</v>
          </cell>
          <cell r="R73">
            <v>0</v>
          </cell>
          <cell r="S73" t="str">
            <v>stroški v €</v>
          </cell>
          <cell r="T73">
            <v>0</v>
          </cell>
          <cell r="U73">
            <v>0</v>
          </cell>
          <cell r="V73">
            <v>24216.880000000001</v>
          </cell>
          <cell r="W73">
            <v>65583.25</v>
          </cell>
          <cell r="X73">
            <v>22450.032500000001</v>
          </cell>
          <cell r="Y73">
            <v>0</v>
          </cell>
          <cell r="Z73">
            <v>0</v>
          </cell>
          <cell r="AA73">
            <v>0</v>
          </cell>
          <cell r="AB73">
            <v>0</v>
          </cell>
          <cell r="AC73">
            <v>0</v>
          </cell>
        </row>
        <row r="74">
          <cell r="A74">
            <v>0</v>
          </cell>
          <cell r="D74">
            <v>0</v>
          </cell>
          <cell r="E74">
            <v>0</v>
          </cell>
          <cell r="F74">
            <v>0</v>
          </cell>
          <cell r="G74">
            <v>0</v>
          </cell>
          <cell r="H74">
            <v>0</v>
          </cell>
          <cell r="I74">
            <v>0</v>
          </cell>
          <cell r="J74">
            <v>0</v>
          </cell>
          <cell r="K74">
            <v>0</v>
          </cell>
          <cell r="L74">
            <v>0</v>
          </cell>
          <cell r="M74">
            <v>0</v>
          </cell>
          <cell r="N74">
            <v>0</v>
          </cell>
          <cell r="O74">
            <v>0</v>
          </cell>
          <cell r="P74">
            <v>0</v>
          </cell>
          <cell r="R74">
            <v>0</v>
          </cell>
          <cell r="S74">
            <v>0</v>
          </cell>
          <cell r="T74">
            <v>0</v>
          </cell>
          <cell r="U74">
            <v>0</v>
          </cell>
          <cell r="V74">
            <v>0</v>
          </cell>
          <cell r="W74">
            <v>0</v>
          </cell>
          <cell r="X74">
            <v>0</v>
          </cell>
          <cell r="Y74">
            <v>0</v>
          </cell>
          <cell r="Z74">
            <v>0</v>
          </cell>
          <cell r="AA74">
            <v>0</v>
          </cell>
          <cell r="AB74">
            <v>0</v>
          </cell>
          <cell r="AC74">
            <v>0</v>
          </cell>
        </row>
        <row r="75">
          <cell r="A75" t="str">
            <v>OB23</v>
          </cell>
          <cell r="B75" t="str">
            <v>Grad Khislstein</v>
          </cell>
          <cell r="C75" t="str">
            <v>Tomšičeva ulica 44, 4000 Kranj</v>
          </cell>
          <cell r="D75">
            <v>684</v>
          </cell>
          <cell r="E75">
            <v>1650</v>
          </cell>
          <cell r="F75" t="str">
            <v>raba v kWh</v>
          </cell>
          <cell r="G75">
            <v>0</v>
          </cell>
          <cell r="H75">
            <v>71052</v>
          </cell>
          <cell r="I75">
            <v>84414</v>
          </cell>
          <cell r="J75">
            <v>76205</v>
          </cell>
          <cell r="K75">
            <v>77223.666666666672</v>
          </cell>
          <cell r="L75">
            <v>112.90009746588694</v>
          </cell>
          <cell r="M75">
            <v>77223.666666666672</v>
          </cell>
          <cell r="N75">
            <v>6970.5599999999986</v>
          </cell>
          <cell r="O75">
            <v>112.90009746588694</v>
          </cell>
          <cell r="P75">
            <v>90.264556202545819</v>
          </cell>
          <cell r="Q75">
            <v>0</v>
          </cell>
          <cell r="R75" t="str">
            <v>ZP</v>
          </cell>
          <cell r="S75" t="str">
            <v>raba v kWh</v>
          </cell>
          <cell r="T75">
            <v>0</v>
          </cell>
          <cell r="U75">
            <v>236522.72000000003</v>
          </cell>
          <cell r="V75">
            <v>322945.94</v>
          </cell>
          <cell r="W75">
            <v>306146.16000000003</v>
          </cell>
          <cell r="X75">
            <v>279734.33</v>
          </cell>
          <cell r="Y75">
            <v>408.96831871345034</v>
          </cell>
          <cell r="Z75">
            <v>295240.23143758939</v>
          </cell>
          <cell r="AA75">
            <v>15717.95589362909</v>
          </cell>
          <cell r="AB75">
            <v>431.63776525963362</v>
          </cell>
          <cell r="AC75">
            <v>53.237852500978335</v>
          </cell>
          <cell r="AD75">
            <v>1771.4413886255363</v>
          </cell>
          <cell r="AE75">
            <v>1771.4413886255363</v>
          </cell>
        </row>
        <row r="76">
          <cell r="A76">
            <v>0</v>
          </cell>
          <cell r="B76">
            <v>0</v>
          </cell>
          <cell r="C76">
            <v>0</v>
          </cell>
          <cell r="D76">
            <v>0</v>
          </cell>
          <cell r="E76">
            <v>0</v>
          </cell>
          <cell r="F76" t="str">
            <v>stroški v €</v>
          </cell>
          <cell r="G76">
            <v>0</v>
          </cell>
          <cell r="H76">
            <v>6979.4299999999985</v>
          </cell>
          <cell r="I76">
            <v>7220.9299999999994</v>
          </cell>
          <cell r="J76">
            <v>6711.3200000000006</v>
          </cell>
          <cell r="K76">
            <v>6970.5599999999986</v>
          </cell>
          <cell r="L76">
            <v>0</v>
          </cell>
          <cell r="M76">
            <v>0</v>
          </cell>
          <cell r="N76">
            <v>0</v>
          </cell>
          <cell r="O76">
            <v>0</v>
          </cell>
          <cell r="P76">
            <v>0</v>
          </cell>
          <cell r="Q76">
            <v>0</v>
          </cell>
          <cell r="R76">
            <v>0</v>
          </cell>
          <cell r="S76" t="str">
            <v>stroški v €</v>
          </cell>
          <cell r="T76">
            <v>0</v>
          </cell>
          <cell r="U76">
            <v>12902.25</v>
          </cell>
          <cell r="V76">
            <v>16882.66</v>
          </cell>
          <cell r="W76">
            <v>14920.130000000001</v>
          </cell>
          <cell r="X76">
            <v>14892.455</v>
          </cell>
          <cell r="Y76">
            <v>0</v>
          </cell>
          <cell r="Z76">
            <v>0</v>
          </cell>
          <cell r="AA76">
            <v>0</v>
          </cell>
          <cell r="AB76">
            <v>0</v>
          </cell>
          <cell r="AC76">
            <v>0</v>
          </cell>
        </row>
        <row r="77">
          <cell r="A77">
            <v>0</v>
          </cell>
          <cell r="D77">
            <v>0</v>
          </cell>
          <cell r="E77">
            <v>0</v>
          </cell>
          <cell r="F77">
            <v>0</v>
          </cell>
          <cell r="G77">
            <v>0</v>
          </cell>
          <cell r="H77">
            <v>0</v>
          </cell>
          <cell r="I77">
            <v>0</v>
          </cell>
          <cell r="J77">
            <v>0</v>
          </cell>
          <cell r="K77">
            <v>0</v>
          </cell>
          <cell r="L77">
            <v>0</v>
          </cell>
          <cell r="M77">
            <v>0</v>
          </cell>
          <cell r="N77">
            <v>0</v>
          </cell>
          <cell r="O77">
            <v>0</v>
          </cell>
          <cell r="P77">
            <v>0</v>
          </cell>
          <cell r="R77">
            <v>0</v>
          </cell>
          <cell r="S77">
            <v>0</v>
          </cell>
          <cell r="T77">
            <v>0</v>
          </cell>
          <cell r="U77">
            <v>0</v>
          </cell>
          <cell r="V77">
            <v>0</v>
          </cell>
          <cell r="W77">
            <v>0</v>
          </cell>
          <cell r="X77">
            <v>0</v>
          </cell>
          <cell r="Y77">
            <v>0</v>
          </cell>
          <cell r="Z77">
            <v>0</v>
          </cell>
          <cell r="AA77">
            <v>0</v>
          </cell>
          <cell r="AB77">
            <v>0</v>
          </cell>
          <cell r="AC77">
            <v>0</v>
          </cell>
        </row>
        <row r="78">
          <cell r="A78" t="str">
            <v>OB24</v>
          </cell>
          <cell r="B78" t="str">
            <v>Glasbena šola Kranj - Poštna ulica</v>
          </cell>
          <cell r="C78" t="str">
            <v>Poštna ulica 3, 4000 Kranj</v>
          </cell>
          <cell r="D78">
            <v>969</v>
          </cell>
          <cell r="E78">
            <v>1949</v>
          </cell>
          <cell r="F78" t="str">
            <v>raba v kWh</v>
          </cell>
          <cell r="G78">
            <v>19770</v>
          </cell>
          <cell r="H78">
            <v>29142</v>
          </cell>
          <cell r="I78">
            <v>20237</v>
          </cell>
          <cell r="J78">
            <v>24964</v>
          </cell>
          <cell r="K78">
            <v>23528.25</v>
          </cell>
          <cell r="L78">
            <v>24.28095975232198</v>
          </cell>
          <cell r="M78">
            <v>23528.25</v>
          </cell>
          <cell r="N78">
            <v>2550.9575</v>
          </cell>
          <cell r="O78">
            <v>24.28095975232198</v>
          </cell>
          <cell r="P78">
            <v>108.42104703919756</v>
          </cell>
          <cell r="Q78">
            <v>0</v>
          </cell>
          <cell r="R78" t="str">
            <v>ELKO</v>
          </cell>
          <cell r="S78" t="str">
            <v>raba v kWh</v>
          </cell>
          <cell r="T78">
            <v>147443</v>
          </cell>
          <cell r="U78">
            <v>124585</v>
          </cell>
          <cell r="V78">
            <v>70140</v>
          </cell>
          <cell r="W78">
            <v>0</v>
          </cell>
          <cell r="X78">
            <v>114056</v>
          </cell>
          <cell r="Y78">
            <v>117.70485036119712</v>
          </cell>
          <cell r="Z78">
            <v>120378.21684898558</v>
          </cell>
          <cell r="AA78">
            <v>12121.464576857614</v>
          </cell>
          <cell r="AB78">
            <v>124.2293259535455</v>
          </cell>
          <cell r="AC78">
            <v>100.6948341165743</v>
          </cell>
          <cell r="AD78">
            <v>722.26930109391355</v>
          </cell>
          <cell r="AE78">
            <v>12843.733877951527</v>
          </cell>
        </row>
        <row r="79">
          <cell r="A79">
            <v>0</v>
          </cell>
          <cell r="B79">
            <v>0</v>
          </cell>
          <cell r="C79">
            <v>0</v>
          </cell>
          <cell r="D79">
            <v>0</v>
          </cell>
          <cell r="E79">
            <v>0</v>
          </cell>
          <cell r="F79" t="str">
            <v>stroški v €</v>
          </cell>
          <cell r="G79">
            <v>2332.5499999999997</v>
          </cell>
          <cell r="H79">
            <v>3180.23</v>
          </cell>
          <cell r="I79">
            <v>1799.64</v>
          </cell>
          <cell r="J79">
            <v>2891.4100000000003</v>
          </cell>
          <cell r="K79">
            <v>2550.9575</v>
          </cell>
          <cell r="L79">
            <v>0</v>
          </cell>
          <cell r="M79">
            <v>0</v>
          </cell>
          <cell r="N79">
            <v>0</v>
          </cell>
          <cell r="O79">
            <v>0</v>
          </cell>
          <cell r="P79">
            <v>0</v>
          </cell>
          <cell r="Q79">
            <v>0</v>
          </cell>
          <cell r="R79">
            <v>0</v>
          </cell>
          <cell r="S79" t="str">
            <v>stroški v €</v>
          </cell>
          <cell r="T79">
            <v>12915.82</v>
          </cell>
          <cell r="U79">
            <v>16737.019999999997</v>
          </cell>
          <cell r="V79">
            <v>4801.71</v>
          </cell>
          <cell r="W79">
            <v>9198.44</v>
          </cell>
          <cell r="X79">
            <v>11484.849999999999</v>
          </cell>
          <cell r="Y79">
            <v>0</v>
          </cell>
          <cell r="Z79">
            <v>0</v>
          </cell>
          <cell r="AA79">
            <v>0</v>
          </cell>
          <cell r="AB79">
            <v>0</v>
          </cell>
          <cell r="AC79">
            <v>0</v>
          </cell>
        </row>
        <row r="80">
          <cell r="A80">
            <v>0</v>
          </cell>
          <cell r="D80">
            <v>0</v>
          </cell>
          <cell r="E80">
            <v>0</v>
          </cell>
          <cell r="F80">
            <v>0</v>
          </cell>
          <cell r="G80">
            <v>0</v>
          </cell>
          <cell r="H80">
            <v>0</v>
          </cell>
          <cell r="I80">
            <v>0</v>
          </cell>
          <cell r="J80">
            <v>0</v>
          </cell>
          <cell r="K80">
            <v>0</v>
          </cell>
          <cell r="L80">
            <v>0</v>
          </cell>
          <cell r="M80">
            <v>0</v>
          </cell>
          <cell r="N80">
            <v>0</v>
          </cell>
          <cell r="O80">
            <v>0</v>
          </cell>
          <cell r="P80">
            <v>0</v>
          </cell>
          <cell r="R80">
            <v>0</v>
          </cell>
          <cell r="S80">
            <v>0</v>
          </cell>
          <cell r="T80">
            <v>0</v>
          </cell>
          <cell r="U80">
            <v>0</v>
          </cell>
          <cell r="V80">
            <v>0</v>
          </cell>
          <cell r="W80">
            <v>0</v>
          </cell>
          <cell r="X80">
            <v>0</v>
          </cell>
          <cell r="Y80">
            <v>0</v>
          </cell>
          <cell r="Z80">
            <v>0</v>
          </cell>
          <cell r="AA80">
            <v>0</v>
          </cell>
          <cell r="AB80">
            <v>0</v>
          </cell>
          <cell r="AC80">
            <v>0</v>
          </cell>
        </row>
        <row r="81">
          <cell r="A81" t="str">
            <v>OB25</v>
          </cell>
          <cell r="B81" t="str">
            <v>Glasbena šola Kranj - Trubarjev trg</v>
          </cell>
          <cell r="C81" t="str">
            <v>Trubarjev trg 3, 4000 Kranj</v>
          </cell>
          <cell r="D81">
            <v>491</v>
          </cell>
          <cell r="E81">
            <v>1949</v>
          </cell>
          <cell r="F81" t="str">
            <v>raba v kWh</v>
          </cell>
          <cell r="G81">
            <v>15080</v>
          </cell>
          <cell r="H81">
            <v>4781</v>
          </cell>
          <cell r="I81">
            <v>6896</v>
          </cell>
          <cell r="J81">
            <v>8829</v>
          </cell>
          <cell r="K81">
            <v>8896.5</v>
          </cell>
          <cell r="L81">
            <v>18.119144602851325</v>
          </cell>
          <cell r="M81">
            <v>8896.5</v>
          </cell>
          <cell r="N81">
            <v>1305.5925000000002</v>
          </cell>
          <cell r="O81">
            <v>18.119144602851325</v>
          </cell>
          <cell r="P81">
            <v>146.75349856685216</v>
          </cell>
          <cell r="Q81">
            <v>0</v>
          </cell>
          <cell r="R81" t="str">
            <v>ZP</v>
          </cell>
          <cell r="S81" t="str">
            <v>raba v kWh</v>
          </cell>
          <cell r="T81">
            <v>25200</v>
          </cell>
          <cell r="U81">
            <v>50400</v>
          </cell>
          <cell r="V81">
            <v>90720</v>
          </cell>
          <cell r="W81">
            <v>37306.080000000002</v>
          </cell>
          <cell r="X81">
            <v>50906.520000000004</v>
          </cell>
          <cell r="Y81">
            <v>103.679266802444</v>
          </cell>
          <cell r="Z81">
            <v>53728.309809104489</v>
          </cell>
          <cell r="AA81">
            <v>3257.6399769870632</v>
          </cell>
          <cell r="AB81">
            <v>109.42629289023317</v>
          </cell>
          <cell r="AC81">
            <v>60.631722616277834</v>
          </cell>
          <cell r="AD81">
            <v>322.36985885462695</v>
          </cell>
          <cell r="AE81">
            <v>3580.0098358416899</v>
          </cell>
        </row>
        <row r="82">
          <cell r="A82">
            <v>0</v>
          </cell>
          <cell r="B82">
            <v>0</v>
          </cell>
          <cell r="C82">
            <v>0</v>
          </cell>
          <cell r="D82">
            <v>0</v>
          </cell>
          <cell r="E82">
            <v>0</v>
          </cell>
          <cell r="F82" t="str">
            <v>stroški v €</v>
          </cell>
          <cell r="G82">
            <v>1966.1700000000003</v>
          </cell>
          <cell r="H82">
            <v>844.66000000000008</v>
          </cell>
          <cell r="I82">
            <v>1074.78</v>
          </cell>
          <cell r="J82">
            <v>1336.7599999999998</v>
          </cell>
          <cell r="K82">
            <v>1305.5925000000002</v>
          </cell>
          <cell r="L82">
            <v>0</v>
          </cell>
          <cell r="M82">
            <v>0</v>
          </cell>
          <cell r="N82">
            <v>0</v>
          </cell>
          <cell r="O82">
            <v>0</v>
          </cell>
          <cell r="P82">
            <v>0</v>
          </cell>
          <cell r="Q82">
            <v>0</v>
          </cell>
          <cell r="R82">
            <v>0</v>
          </cell>
          <cell r="S82" t="str">
            <v>stroški v €</v>
          </cell>
          <cell r="T82">
            <v>2015.45</v>
          </cell>
          <cell r="U82">
            <v>4003.08</v>
          </cell>
          <cell r="V82">
            <v>6327.67</v>
          </cell>
          <cell r="W82">
            <v>0</v>
          </cell>
          <cell r="X82">
            <v>3086.55</v>
          </cell>
          <cell r="Y82">
            <v>0</v>
          </cell>
          <cell r="Z82">
            <v>0</v>
          </cell>
          <cell r="AA82">
            <v>0</v>
          </cell>
          <cell r="AB82">
            <v>0</v>
          </cell>
          <cell r="AC82">
            <v>0</v>
          </cell>
        </row>
        <row r="83">
          <cell r="A83">
            <v>0</v>
          </cell>
          <cell r="D83">
            <v>0</v>
          </cell>
          <cell r="E83">
            <v>0</v>
          </cell>
          <cell r="F83">
            <v>0</v>
          </cell>
          <cell r="G83">
            <v>0</v>
          </cell>
          <cell r="H83">
            <v>0</v>
          </cell>
          <cell r="I83">
            <v>0</v>
          </cell>
          <cell r="J83">
            <v>0</v>
          </cell>
          <cell r="K83">
            <v>0</v>
          </cell>
          <cell r="L83">
            <v>0</v>
          </cell>
          <cell r="M83">
            <v>0</v>
          </cell>
          <cell r="N83">
            <v>0</v>
          </cell>
          <cell r="O83">
            <v>0</v>
          </cell>
          <cell r="P83">
            <v>0</v>
          </cell>
          <cell r="R83">
            <v>0</v>
          </cell>
          <cell r="S83">
            <v>0</v>
          </cell>
          <cell r="T83">
            <v>0</v>
          </cell>
          <cell r="U83">
            <v>0</v>
          </cell>
          <cell r="V83">
            <v>0</v>
          </cell>
          <cell r="W83">
            <v>0</v>
          </cell>
          <cell r="X83">
            <v>0</v>
          </cell>
          <cell r="Y83">
            <v>0</v>
          </cell>
          <cell r="Z83">
            <v>0</v>
          </cell>
          <cell r="AA83">
            <v>0</v>
          </cell>
          <cell r="AB83">
            <v>0</v>
          </cell>
          <cell r="AC83">
            <v>0</v>
          </cell>
        </row>
        <row r="84">
          <cell r="A84" t="str">
            <v>OB26</v>
          </cell>
          <cell r="B84" t="str">
            <v>Ljudska univerza Kranj</v>
          </cell>
          <cell r="C84" t="str">
            <v>Cesta Staneta Žagarja 1, 4000 Kranj</v>
          </cell>
          <cell r="D84">
            <v>1916</v>
          </cell>
          <cell r="E84">
            <v>627</v>
          </cell>
          <cell r="F84" t="str">
            <v>raba v kWh</v>
          </cell>
          <cell r="G84">
            <v>22018</v>
          </cell>
          <cell r="H84">
            <v>25443</v>
          </cell>
          <cell r="I84">
            <v>20935</v>
          </cell>
          <cell r="J84">
            <v>21877</v>
          </cell>
          <cell r="K84">
            <v>22568.25</v>
          </cell>
          <cell r="L84">
            <v>11.778836116910229</v>
          </cell>
          <cell r="M84">
            <v>22568.25</v>
          </cell>
          <cell r="N84">
            <v>2308.7050000000004</v>
          </cell>
          <cell r="O84">
            <v>11.778836116910229</v>
          </cell>
          <cell r="P84">
            <v>102.29880473674301</v>
          </cell>
          <cell r="Q84">
            <v>0</v>
          </cell>
          <cell r="R84" t="str">
            <v>ZP</v>
          </cell>
          <cell r="S84" t="str">
            <v>raba v kWh</v>
          </cell>
          <cell r="T84">
            <v>84667.36</v>
          </cell>
          <cell r="U84">
            <v>71913.919999999998</v>
          </cell>
          <cell r="V84">
            <v>67835.839999999997</v>
          </cell>
          <cell r="W84">
            <v>72697.440000000002</v>
          </cell>
          <cell r="X84">
            <v>74278.64</v>
          </cell>
          <cell r="Y84">
            <v>38.767557411273486</v>
          </cell>
          <cell r="Z84">
            <v>78395.965430733442</v>
          </cell>
          <cell r="AA84">
            <v>4487.2802004043233</v>
          </cell>
          <cell r="AB84">
            <v>40.916474650695953</v>
          </cell>
          <cell r="AC84">
            <v>57.238662420313567</v>
          </cell>
          <cell r="AD84">
            <v>470.37579258440064</v>
          </cell>
          <cell r="AE84">
            <v>470.37579258440064</v>
          </cell>
        </row>
        <row r="85">
          <cell r="A85">
            <v>0</v>
          </cell>
          <cell r="B85">
            <v>0</v>
          </cell>
          <cell r="C85">
            <v>0</v>
          </cell>
          <cell r="D85">
            <v>0</v>
          </cell>
          <cell r="E85">
            <v>0</v>
          </cell>
          <cell r="F85" t="str">
            <v>stroški v €</v>
          </cell>
          <cell r="G85">
            <v>2360.9299999999998</v>
          </cell>
          <cell r="H85">
            <v>2715.2000000000007</v>
          </cell>
          <cell r="I85">
            <v>2185.41</v>
          </cell>
          <cell r="J85">
            <v>1973.2800000000002</v>
          </cell>
          <cell r="K85">
            <v>2308.7050000000004</v>
          </cell>
          <cell r="L85">
            <v>0</v>
          </cell>
          <cell r="M85">
            <v>0</v>
          </cell>
          <cell r="N85">
            <v>0</v>
          </cell>
          <cell r="O85">
            <v>0</v>
          </cell>
          <cell r="P85">
            <v>0</v>
          </cell>
          <cell r="Q85">
            <v>0</v>
          </cell>
          <cell r="R85">
            <v>0</v>
          </cell>
          <cell r="S85" t="str">
            <v>stroški v €</v>
          </cell>
          <cell r="T85">
            <v>5067.33</v>
          </cell>
          <cell r="U85">
            <v>4128.58</v>
          </cell>
          <cell r="V85">
            <v>3728.3400000000006</v>
          </cell>
          <cell r="W85">
            <v>4082.1899999999996</v>
          </cell>
          <cell r="X85">
            <v>4251.6099999999997</v>
          </cell>
          <cell r="Y85">
            <v>0</v>
          </cell>
          <cell r="Z85">
            <v>0</v>
          </cell>
          <cell r="AA85">
            <v>0</v>
          </cell>
          <cell r="AB85">
            <v>0</v>
          </cell>
          <cell r="AC85">
            <v>0</v>
          </cell>
        </row>
        <row r="86">
          <cell r="A86">
            <v>0</v>
          </cell>
          <cell r="D86">
            <v>0</v>
          </cell>
          <cell r="E86">
            <v>0</v>
          </cell>
          <cell r="F86">
            <v>0</v>
          </cell>
          <cell r="G86">
            <v>0</v>
          </cell>
          <cell r="H86">
            <v>0</v>
          </cell>
          <cell r="I86">
            <v>0</v>
          </cell>
          <cell r="J86">
            <v>0</v>
          </cell>
          <cell r="K86">
            <v>0</v>
          </cell>
          <cell r="L86">
            <v>0</v>
          </cell>
          <cell r="M86">
            <v>0</v>
          </cell>
          <cell r="N86">
            <v>0</v>
          </cell>
          <cell r="O86">
            <v>0</v>
          </cell>
          <cell r="P86">
            <v>0</v>
          </cell>
          <cell r="R86">
            <v>0</v>
          </cell>
          <cell r="S86">
            <v>0</v>
          </cell>
          <cell r="T86">
            <v>0</v>
          </cell>
          <cell r="U86">
            <v>0</v>
          </cell>
          <cell r="V86">
            <v>0</v>
          </cell>
          <cell r="W86">
            <v>0</v>
          </cell>
          <cell r="X86">
            <v>0</v>
          </cell>
          <cell r="Y86">
            <v>0</v>
          </cell>
          <cell r="Z86">
            <v>0</v>
          </cell>
          <cell r="AA86">
            <v>0</v>
          </cell>
          <cell r="AB86">
            <v>0</v>
          </cell>
          <cell r="AC86">
            <v>0</v>
          </cell>
        </row>
        <row r="87">
          <cell r="A87" t="str">
            <v>OB27</v>
          </cell>
          <cell r="B87" t="str">
            <v>OŠ Predoslje</v>
          </cell>
          <cell r="C87" t="str">
            <v>Predoslje 17a, 4000 Kranj</v>
          </cell>
          <cell r="D87">
            <v>4992</v>
          </cell>
          <cell r="E87">
            <v>1973</v>
          </cell>
          <cell r="F87" t="str">
            <v>raba v kWh</v>
          </cell>
          <cell r="G87">
            <v>124382</v>
          </cell>
          <cell r="H87">
            <v>132315</v>
          </cell>
          <cell r="I87">
            <v>121851</v>
          </cell>
          <cell r="J87">
            <v>131646</v>
          </cell>
          <cell r="K87">
            <v>127548.5</v>
          </cell>
          <cell r="L87">
            <v>25.550580929487179</v>
          </cell>
          <cell r="M87">
            <v>127548.5</v>
          </cell>
          <cell r="N87">
            <v>15341.187499999998</v>
          </cell>
          <cell r="O87">
            <v>25.550580929487179</v>
          </cell>
          <cell r="P87">
            <v>120.27728667918477</v>
          </cell>
          <cell r="Q87">
            <v>0</v>
          </cell>
          <cell r="R87" t="str">
            <v>biomasa</v>
          </cell>
          <cell r="S87" t="str">
            <v>raba v kWh</v>
          </cell>
          <cell r="T87">
            <v>0</v>
          </cell>
          <cell r="U87">
            <v>0</v>
          </cell>
          <cell r="V87">
            <v>424800</v>
          </cell>
          <cell r="W87">
            <v>350425</v>
          </cell>
          <cell r="X87">
            <v>387612.5</v>
          </cell>
          <cell r="Y87">
            <v>77.646734775641022</v>
          </cell>
          <cell r="Z87">
            <v>409098.17614485358</v>
          </cell>
          <cell r="AA87">
            <v>19963.990995868855</v>
          </cell>
          <cell r="AB87">
            <v>81.950756439273547</v>
          </cell>
          <cell r="AC87">
            <v>48.8</v>
          </cell>
          <cell r="AD87">
            <v>2454.5890568691211</v>
          </cell>
          <cell r="AE87">
            <v>22418.580052737976</v>
          </cell>
        </row>
        <row r="88">
          <cell r="A88">
            <v>0</v>
          </cell>
          <cell r="B88">
            <v>0</v>
          </cell>
          <cell r="C88">
            <v>0</v>
          </cell>
          <cell r="D88">
            <v>0</v>
          </cell>
          <cell r="E88">
            <v>0</v>
          </cell>
          <cell r="F88" t="str">
            <v>stroški v €</v>
          </cell>
          <cell r="G88">
            <v>15936.380000000001</v>
          </cell>
          <cell r="H88">
            <v>15567.91</v>
          </cell>
          <cell r="I88">
            <v>14157.739999999998</v>
          </cell>
          <cell r="J88">
            <v>15702.720000000001</v>
          </cell>
          <cell r="K88">
            <v>15341.1875</v>
          </cell>
          <cell r="L88">
            <v>0</v>
          </cell>
          <cell r="M88">
            <v>0</v>
          </cell>
          <cell r="N88">
            <v>0</v>
          </cell>
          <cell r="O88">
            <v>0</v>
          </cell>
          <cell r="P88">
            <v>0</v>
          </cell>
          <cell r="Q88">
            <v>0</v>
          </cell>
          <cell r="R88">
            <v>0</v>
          </cell>
          <cell r="S88" t="str">
            <v>stroški v €</v>
          </cell>
          <cell r="T88">
            <v>0</v>
          </cell>
          <cell r="U88">
            <v>0</v>
          </cell>
          <cell r="V88">
            <v>20730.239999999998</v>
          </cell>
          <cell r="W88">
            <v>17100.740000000002</v>
          </cell>
          <cell r="X88">
            <v>18915.489999999998</v>
          </cell>
          <cell r="Y88">
            <v>0</v>
          </cell>
          <cell r="Z88">
            <v>0</v>
          </cell>
          <cell r="AA88">
            <v>0</v>
          </cell>
          <cell r="AB88">
            <v>0</v>
          </cell>
          <cell r="AC88">
            <v>0</v>
          </cell>
        </row>
        <row r="89">
          <cell r="A89">
            <v>0</v>
          </cell>
          <cell r="D89">
            <v>0</v>
          </cell>
          <cell r="E89">
            <v>0</v>
          </cell>
          <cell r="F89">
            <v>0</v>
          </cell>
          <cell r="G89">
            <v>0</v>
          </cell>
          <cell r="H89">
            <v>0</v>
          </cell>
          <cell r="I89">
            <v>0</v>
          </cell>
          <cell r="J89">
            <v>0</v>
          </cell>
          <cell r="K89">
            <v>0</v>
          </cell>
          <cell r="L89">
            <v>0</v>
          </cell>
          <cell r="M89">
            <v>0</v>
          </cell>
          <cell r="N89">
            <v>0</v>
          </cell>
          <cell r="O89">
            <v>0</v>
          </cell>
          <cell r="P89">
            <v>0</v>
          </cell>
          <cell r="R89">
            <v>0</v>
          </cell>
          <cell r="S89">
            <v>0</v>
          </cell>
          <cell r="T89">
            <v>0</v>
          </cell>
          <cell r="U89">
            <v>0</v>
          </cell>
          <cell r="V89">
            <v>0</v>
          </cell>
          <cell r="W89">
            <v>0</v>
          </cell>
          <cell r="X89">
            <v>0</v>
          </cell>
          <cell r="Y89">
            <v>0</v>
          </cell>
          <cell r="Z89">
            <v>0</v>
          </cell>
          <cell r="AA89">
            <v>0</v>
          </cell>
          <cell r="AB89">
            <v>0</v>
          </cell>
          <cell r="AC89">
            <v>0</v>
          </cell>
        </row>
        <row r="90">
          <cell r="A90" t="str">
            <v>OB28</v>
          </cell>
          <cell r="B90" t="str">
            <v>OŠ Simona Jenka - PŠ Goriče</v>
          </cell>
          <cell r="C90" t="str">
            <v>Goriče 1, 4204 Srednja vas - Goriče</v>
          </cell>
          <cell r="D90">
            <v>112</v>
          </cell>
          <cell r="E90">
            <v>1995</v>
          </cell>
          <cell r="F90" t="str">
            <v>raba v kWh</v>
          </cell>
          <cell r="G90">
            <v>46950</v>
          </cell>
          <cell r="H90">
            <v>39103</v>
          </cell>
          <cell r="I90">
            <v>34622</v>
          </cell>
          <cell r="J90">
            <v>32694</v>
          </cell>
          <cell r="K90">
            <v>38342.25</v>
          </cell>
          <cell r="L90">
            <v>342.34151785714283</v>
          </cell>
          <cell r="M90">
            <v>38342.25</v>
          </cell>
          <cell r="N90">
            <v>4676.2175000000007</v>
          </cell>
          <cell r="O90">
            <v>342.34151785714283</v>
          </cell>
          <cell r="P90">
            <v>121.95991367225452</v>
          </cell>
          <cell r="Q90">
            <v>0</v>
          </cell>
          <cell r="R90" t="str">
            <v>ZP</v>
          </cell>
          <cell r="S90" t="str">
            <v>raba v kWh</v>
          </cell>
          <cell r="T90">
            <v>122088.96000000001</v>
          </cell>
          <cell r="U90">
            <v>77646.240000000005</v>
          </cell>
          <cell r="V90">
            <v>110890.08</v>
          </cell>
          <cell r="W90">
            <v>80660.160000000003</v>
          </cell>
          <cell r="X90">
            <v>97821.360000000015</v>
          </cell>
          <cell r="Y90">
            <v>873.40500000000009</v>
          </cell>
          <cell r="Z90">
            <v>103243.67754912224</v>
          </cell>
          <cell r="AA90">
            <v>7480.4371312935982</v>
          </cell>
          <cell r="AB90">
            <v>921.8185495457343</v>
          </cell>
          <cell r="AC90">
            <v>72.454190986508465</v>
          </cell>
          <cell r="AD90">
            <v>619.46206529473341</v>
          </cell>
          <cell r="AE90">
            <v>8099.8991965883315</v>
          </cell>
        </row>
        <row r="91">
          <cell r="A91">
            <v>0</v>
          </cell>
          <cell r="B91">
            <v>0</v>
          </cell>
          <cell r="C91">
            <v>0</v>
          </cell>
          <cell r="D91">
            <v>0</v>
          </cell>
          <cell r="E91">
            <v>0</v>
          </cell>
          <cell r="F91" t="str">
            <v>stroški v €</v>
          </cell>
          <cell r="G91">
            <v>5785.01</v>
          </cell>
          <cell r="H91">
            <v>4767.9600000000009</v>
          </cell>
          <cell r="I91">
            <v>3846.2399999999993</v>
          </cell>
          <cell r="J91">
            <v>4305.66</v>
          </cell>
          <cell r="K91">
            <v>4676.2175000000007</v>
          </cell>
          <cell r="L91">
            <v>0</v>
          </cell>
          <cell r="M91">
            <v>0</v>
          </cell>
          <cell r="N91">
            <v>0</v>
          </cell>
          <cell r="O91">
            <v>0</v>
          </cell>
          <cell r="P91">
            <v>0</v>
          </cell>
          <cell r="Q91">
            <v>0</v>
          </cell>
          <cell r="R91">
            <v>0</v>
          </cell>
          <cell r="S91" t="str">
            <v>stroški v €</v>
          </cell>
          <cell r="T91">
            <v>9797.48</v>
          </cell>
          <cell r="U91">
            <v>6130.43</v>
          </cell>
          <cell r="V91">
            <v>7312.61</v>
          </cell>
          <cell r="W91">
            <v>5109.75</v>
          </cell>
          <cell r="X91">
            <v>7087.5675000000001</v>
          </cell>
          <cell r="Y91">
            <v>0</v>
          </cell>
          <cell r="Z91">
            <v>0</v>
          </cell>
          <cell r="AA91">
            <v>0</v>
          </cell>
          <cell r="AB91">
            <v>0</v>
          </cell>
          <cell r="AC91">
            <v>0</v>
          </cell>
        </row>
        <row r="92">
          <cell r="A92">
            <v>0</v>
          </cell>
          <cell r="D92">
            <v>0</v>
          </cell>
          <cell r="E92">
            <v>0</v>
          </cell>
          <cell r="F92">
            <v>0</v>
          </cell>
          <cell r="G92">
            <v>0</v>
          </cell>
          <cell r="H92">
            <v>0</v>
          </cell>
          <cell r="I92">
            <v>0</v>
          </cell>
          <cell r="J92">
            <v>0</v>
          </cell>
          <cell r="K92">
            <v>0</v>
          </cell>
          <cell r="L92">
            <v>0</v>
          </cell>
          <cell r="M92">
            <v>0</v>
          </cell>
          <cell r="N92">
            <v>0</v>
          </cell>
          <cell r="O92">
            <v>0</v>
          </cell>
          <cell r="P92">
            <v>0</v>
          </cell>
          <cell r="R92">
            <v>0</v>
          </cell>
          <cell r="S92">
            <v>0</v>
          </cell>
          <cell r="T92">
            <v>0</v>
          </cell>
          <cell r="U92">
            <v>0</v>
          </cell>
          <cell r="V92">
            <v>0</v>
          </cell>
          <cell r="W92">
            <v>0</v>
          </cell>
          <cell r="X92">
            <v>0</v>
          </cell>
          <cell r="Y92">
            <v>0</v>
          </cell>
          <cell r="Z92">
            <v>0</v>
          </cell>
          <cell r="AA92">
            <v>0</v>
          </cell>
          <cell r="AB92">
            <v>0</v>
          </cell>
          <cell r="AC92">
            <v>0</v>
          </cell>
        </row>
        <row r="93">
          <cell r="A93" t="str">
            <v>OB29</v>
          </cell>
          <cell r="B93" t="str">
            <v>OŠ Mavčiče</v>
          </cell>
          <cell r="C93" t="str">
            <v>Mavčiče 61, 4211 Mavčiče</v>
          </cell>
          <cell r="D93">
            <v>375</v>
          </cell>
          <cell r="E93">
            <v>1992</v>
          </cell>
          <cell r="F93" t="str">
            <v>raba v kWh</v>
          </cell>
          <cell r="G93">
            <v>19636</v>
          </cell>
          <cell r="H93">
            <v>27167</v>
          </cell>
          <cell r="I93">
            <v>27274</v>
          </cell>
          <cell r="J93">
            <v>0</v>
          </cell>
          <cell r="K93">
            <v>24692.333333333332</v>
          </cell>
          <cell r="L93">
            <v>65.846222222222224</v>
          </cell>
          <cell r="M93">
            <v>24692.333333333332</v>
          </cell>
          <cell r="N93">
            <v>2936.8166666666662</v>
          </cell>
          <cell r="O93">
            <v>65.846222222222224</v>
          </cell>
          <cell r="P93">
            <v>118.93637701310797</v>
          </cell>
          <cell r="Q93">
            <v>0</v>
          </cell>
          <cell r="R93" t="str">
            <v>ELKO</v>
          </cell>
          <cell r="S93" t="str">
            <v>raba v kWh</v>
          </cell>
          <cell r="T93">
            <v>59552.639999999999</v>
          </cell>
          <cell r="U93">
            <v>92856.960000000006</v>
          </cell>
          <cell r="V93">
            <v>95981.759999999995</v>
          </cell>
          <cell r="W93">
            <v>0</v>
          </cell>
          <cell r="X93">
            <v>82797.119999999995</v>
          </cell>
          <cell r="Y93">
            <v>220.79231999999999</v>
          </cell>
          <cell r="Z93">
            <v>87386.631705754015</v>
          </cell>
          <cell r="AA93">
            <v>6459.3210122495948</v>
          </cell>
          <cell r="AB93">
            <v>233.0310178820107</v>
          </cell>
          <cell r="AC93">
            <v>73.91658067333745</v>
          </cell>
          <cell r="AD93">
            <v>524.31979023452402</v>
          </cell>
          <cell r="AE93">
            <v>524.31979023452402</v>
          </cell>
        </row>
        <row r="94">
          <cell r="A94">
            <v>0</v>
          </cell>
          <cell r="B94">
            <v>0</v>
          </cell>
          <cell r="C94">
            <v>0</v>
          </cell>
          <cell r="D94">
            <v>0</v>
          </cell>
          <cell r="E94">
            <v>0</v>
          </cell>
          <cell r="F94" t="str">
            <v>stroški v €</v>
          </cell>
          <cell r="G94">
            <v>2682.4700000000003</v>
          </cell>
          <cell r="H94">
            <v>3147.36</v>
          </cell>
          <cell r="I94">
            <v>2980.619999999999</v>
          </cell>
          <cell r="J94">
            <v>0</v>
          </cell>
          <cell r="K94">
            <v>2936.8166666666662</v>
          </cell>
          <cell r="L94">
            <v>0</v>
          </cell>
          <cell r="M94">
            <v>0</v>
          </cell>
          <cell r="N94">
            <v>0</v>
          </cell>
          <cell r="O94">
            <v>0</v>
          </cell>
          <cell r="P94">
            <v>0</v>
          </cell>
          <cell r="Q94">
            <v>0</v>
          </cell>
          <cell r="R94">
            <v>0</v>
          </cell>
          <cell r="S94" t="str">
            <v>stroški v €</v>
          </cell>
          <cell r="T94">
            <v>4777.9799999999996</v>
          </cell>
          <cell r="U94">
            <v>7341.6500000000005</v>
          </cell>
          <cell r="V94">
            <v>6240.6100000000006</v>
          </cell>
          <cell r="W94">
            <v>0</v>
          </cell>
          <cell r="X94">
            <v>6120.0800000000008</v>
          </cell>
          <cell r="Y94">
            <v>0</v>
          </cell>
          <cell r="Z94">
            <v>0</v>
          </cell>
          <cell r="AA94">
            <v>0</v>
          </cell>
          <cell r="AB94">
            <v>0</v>
          </cell>
          <cell r="AC94">
            <v>0</v>
          </cell>
        </row>
        <row r="95">
          <cell r="A95">
            <v>0</v>
          </cell>
          <cell r="D95">
            <v>0</v>
          </cell>
          <cell r="E95">
            <v>0</v>
          </cell>
          <cell r="F95">
            <v>0</v>
          </cell>
          <cell r="G95">
            <v>0</v>
          </cell>
          <cell r="H95">
            <v>0</v>
          </cell>
          <cell r="I95">
            <v>0</v>
          </cell>
          <cell r="J95">
            <v>0</v>
          </cell>
          <cell r="K95">
            <v>0</v>
          </cell>
          <cell r="L95">
            <v>0</v>
          </cell>
          <cell r="M95">
            <v>0</v>
          </cell>
          <cell r="N95">
            <v>0</v>
          </cell>
          <cell r="O95">
            <v>0</v>
          </cell>
          <cell r="P95">
            <v>0</v>
          </cell>
          <cell r="R95">
            <v>0</v>
          </cell>
          <cell r="S95">
            <v>0</v>
          </cell>
          <cell r="T95">
            <v>0</v>
          </cell>
          <cell r="U95">
            <v>0</v>
          </cell>
          <cell r="V95">
            <v>0</v>
          </cell>
          <cell r="W95">
            <v>0</v>
          </cell>
          <cell r="X95">
            <v>0</v>
          </cell>
          <cell r="Y95">
            <v>0</v>
          </cell>
          <cell r="Z95">
            <v>0</v>
          </cell>
          <cell r="AA95">
            <v>0</v>
          </cell>
          <cell r="AB95">
            <v>0</v>
          </cell>
          <cell r="AC95">
            <v>0</v>
          </cell>
        </row>
        <row r="96">
          <cell r="A96" t="str">
            <v>OB30</v>
          </cell>
          <cell r="B96" t="str">
            <v>VVZ Čenča</v>
          </cell>
          <cell r="C96" t="str">
            <v>Oprešnikova 4a, 4000 Kranj</v>
          </cell>
          <cell r="D96">
            <v>248</v>
          </cell>
          <cell r="E96">
            <v>1973</v>
          </cell>
          <cell r="F96" t="str">
            <v>raba v kWh</v>
          </cell>
          <cell r="G96">
            <v>9943</v>
          </cell>
          <cell r="H96">
            <v>9554</v>
          </cell>
          <cell r="I96">
            <v>10090</v>
          </cell>
          <cell r="J96">
            <v>9700</v>
          </cell>
          <cell r="K96">
            <v>9821.75</v>
          </cell>
          <cell r="L96">
            <v>39.603830645161288</v>
          </cell>
          <cell r="M96">
            <v>9821.75</v>
          </cell>
          <cell r="N96">
            <v>904.93500000000017</v>
          </cell>
          <cell r="O96">
            <v>39.603830645161288</v>
          </cell>
          <cell r="P96">
            <v>92.135821009494251</v>
          </cell>
          <cell r="Q96">
            <v>0</v>
          </cell>
          <cell r="R96" t="str">
            <v>ELKO</v>
          </cell>
          <cell r="S96" t="str">
            <v>raba v kWh</v>
          </cell>
          <cell r="T96">
            <v>20170.080000000002</v>
          </cell>
          <cell r="U96">
            <v>58453.919999999998</v>
          </cell>
          <cell r="V96">
            <v>36419.040000000001</v>
          </cell>
          <cell r="W96">
            <v>45400.32</v>
          </cell>
          <cell r="X96">
            <v>38347.68</v>
          </cell>
          <cell r="Y96">
            <v>154.62774193548387</v>
          </cell>
          <cell r="Z96">
            <v>40473.323093002626</v>
          </cell>
          <cell r="AA96">
            <v>3013.244417844614</v>
          </cell>
          <cell r="AB96">
            <v>163.19888343952672</v>
          </cell>
          <cell r="AC96">
            <v>74.450136227276317</v>
          </cell>
          <cell r="AD96">
            <v>242.83993855801575</v>
          </cell>
          <cell r="AE96">
            <v>242.83993855801575</v>
          </cell>
        </row>
        <row r="97">
          <cell r="A97">
            <v>0</v>
          </cell>
          <cell r="B97">
            <v>0</v>
          </cell>
          <cell r="C97">
            <v>0</v>
          </cell>
          <cell r="D97">
            <v>0</v>
          </cell>
          <cell r="E97">
            <v>0</v>
          </cell>
          <cell r="F97" t="str">
            <v>stroški v €</v>
          </cell>
          <cell r="G97">
            <v>1058.0500000000002</v>
          </cell>
          <cell r="H97">
            <v>1072.22</v>
          </cell>
          <cell r="I97">
            <v>752.00999999999988</v>
          </cell>
          <cell r="J97">
            <v>737.45999999999992</v>
          </cell>
          <cell r="K97">
            <v>904.93500000000006</v>
          </cell>
          <cell r="L97">
            <v>0</v>
          </cell>
          <cell r="M97">
            <v>0</v>
          </cell>
          <cell r="N97">
            <v>0</v>
          </cell>
          <cell r="O97">
            <v>0</v>
          </cell>
          <cell r="P97">
            <v>0</v>
          </cell>
          <cell r="Q97">
            <v>0</v>
          </cell>
          <cell r="R97">
            <v>0</v>
          </cell>
          <cell r="S97" t="str">
            <v>stroški v €</v>
          </cell>
          <cell r="T97">
            <v>1590.9</v>
          </cell>
          <cell r="U97">
            <v>4707.2299999999996</v>
          </cell>
          <cell r="V97">
            <v>2266.84</v>
          </cell>
          <cell r="W97">
            <v>3006.4300000000003</v>
          </cell>
          <cell r="X97">
            <v>2854.99</v>
          </cell>
          <cell r="Y97">
            <v>0</v>
          </cell>
          <cell r="Z97">
            <v>0</v>
          </cell>
          <cell r="AA97">
            <v>0</v>
          </cell>
          <cell r="AB97">
            <v>0</v>
          </cell>
          <cell r="AC97">
            <v>0</v>
          </cell>
        </row>
        <row r="98">
          <cell r="A98">
            <v>0</v>
          </cell>
          <cell r="D98">
            <v>0</v>
          </cell>
          <cell r="E98">
            <v>0</v>
          </cell>
          <cell r="F98">
            <v>0</v>
          </cell>
          <cell r="G98">
            <v>0</v>
          </cell>
          <cell r="H98">
            <v>0</v>
          </cell>
          <cell r="I98">
            <v>0</v>
          </cell>
          <cell r="J98">
            <v>0</v>
          </cell>
          <cell r="K98">
            <v>0</v>
          </cell>
          <cell r="L98">
            <v>0</v>
          </cell>
          <cell r="M98">
            <v>0</v>
          </cell>
          <cell r="N98">
            <v>0</v>
          </cell>
          <cell r="O98">
            <v>0</v>
          </cell>
          <cell r="P98">
            <v>0</v>
          </cell>
          <cell r="R98">
            <v>0</v>
          </cell>
          <cell r="S98">
            <v>0</v>
          </cell>
          <cell r="T98">
            <v>0</v>
          </cell>
          <cell r="U98">
            <v>0</v>
          </cell>
          <cell r="V98">
            <v>0</v>
          </cell>
          <cell r="W98">
            <v>0</v>
          </cell>
          <cell r="X98">
            <v>0</v>
          </cell>
          <cell r="Y98">
            <v>0</v>
          </cell>
          <cell r="Z98">
            <v>0</v>
          </cell>
          <cell r="AA98">
            <v>0</v>
          </cell>
          <cell r="AB98">
            <v>0</v>
          </cell>
          <cell r="AC98">
            <v>0</v>
          </cell>
        </row>
        <row r="99">
          <cell r="A99" t="str">
            <v>OB31</v>
          </cell>
          <cell r="B99" t="str">
            <v>VVZ Ciciban</v>
          </cell>
          <cell r="C99" t="str">
            <v>Likozarjeva 22, 4000 Kranj</v>
          </cell>
          <cell r="D99">
            <v>134</v>
          </cell>
          <cell r="E99">
            <v>1959</v>
          </cell>
          <cell r="F99" t="str">
            <v>raba v kWh</v>
          </cell>
          <cell r="G99">
            <v>0</v>
          </cell>
          <cell r="H99">
            <v>0</v>
          </cell>
          <cell r="I99">
            <v>0</v>
          </cell>
          <cell r="J99">
            <v>4580</v>
          </cell>
          <cell r="K99">
            <v>4580</v>
          </cell>
          <cell r="L99">
            <v>34.179104477611943</v>
          </cell>
          <cell r="M99">
            <v>4580</v>
          </cell>
          <cell r="N99">
            <v>373.86</v>
          </cell>
          <cell r="O99">
            <v>34.179104477611943</v>
          </cell>
          <cell r="P99">
            <v>81.62882096069869</v>
          </cell>
          <cell r="Q99">
            <v>0</v>
          </cell>
          <cell r="R99" t="str">
            <v>ELKO</v>
          </cell>
          <cell r="S99" t="str">
            <v>raba v kWh</v>
          </cell>
          <cell r="T99">
            <v>0</v>
          </cell>
          <cell r="U99">
            <v>0</v>
          </cell>
          <cell r="V99">
            <v>0</v>
          </cell>
          <cell r="W99">
            <v>28405.439999999999</v>
          </cell>
          <cell r="X99">
            <v>28405.439999999999</v>
          </cell>
          <cell r="Y99">
            <v>211.98089552238804</v>
          </cell>
          <cell r="Z99">
            <v>29979.976643147653</v>
          </cell>
          <cell r="AA99">
            <v>1681.1007538334916</v>
          </cell>
          <cell r="AB99">
            <v>223.73116897871384</v>
          </cell>
          <cell r="AC99">
            <v>56.074118197077745</v>
          </cell>
          <cell r="AD99">
            <v>179.87985985888594</v>
          </cell>
          <cell r="AE99">
            <v>1860.9806136923776</v>
          </cell>
        </row>
        <row r="100">
          <cell r="A100">
            <v>0</v>
          </cell>
          <cell r="B100">
            <v>0</v>
          </cell>
          <cell r="C100">
            <v>0</v>
          </cell>
          <cell r="D100">
            <v>0</v>
          </cell>
          <cell r="E100">
            <v>0</v>
          </cell>
          <cell r="F100" t="str">
            <v>stroški v €</v>
          </cell>
          <cell r="G100">
            <v>0</v>
          </cell>
          <cell r="H100">
            <v>0</v>
          </cell>
          <cell r="I100">
            <v>0</v>
          </cell>
          <cell r="J100">
            <v>373.86</v>
          </cell>
          <cell r="K100">
            <v>373.86</v>
          </cell>
          <cell r="L100">
            <v>0</v>
          </cell>
          <cell r="M100">
            <v>0</v>
          </cell>
          <cell r="N100">
            <v>0</v>
          </cell>
          <cell r="O100">
            <v>0</v>
          </cell>
          <cell r="P100">
            <v>0</v>
          </cell>
          <cell r="Q100">
            <v>0</v>
          </cell>
          <cell r="R100">
            <v>0</v>
          </cell>
          <cell r="S100" t="str">
            <v>stroški v €</v>
          </cell>
          <cell r="T100">
            <v>0</v>
          </cell>
          <cell r="U100">
            <v>0</v>
          </cell>
          <cell r="V100">
            <v>0</v>
          </cell>
          <cell r="W100">
            <v>1592.81</v>
          </cell>
          <cell r="X100">
            <v>1592.81</v>
          </cell>
          <cell r="Y100">
            <v>0</v>
          </cell>
          <cell r="Z100">
            <v>0</v>
          </cell>
          <cell r="AA100">
            <v>0</v>
          </cell>
          <cell r="AB100">
            <v>0</v>
          </cell>
          <cell r="AC100">
            <v>0</v>
          </cell>
        </row>
        <row r="101">
          <cell r="A101">
            <v>0</v>
          </cell>
          <cell r="D101">
            <v>0</v>
          </cell>
          <cell r="E101">
            <v>0</v>
          </cell>
          <cell r="F101">
            <v>0</v>
          </cell>
          <cell r="G101">
            <v>0</v>
          </cell>
          <cell r="H101">
            <v>0</v>
          </cell>
          <cell r="I101">
            <v>0</v>
          </cell>
          <cell r="J101">
            <v>0</v>
          </cell>
          <cell r="K101">
            <v>0</v>
          </cell>
          <cell r="L101">
            <v>0</v>
          </cell>
          <cell r="M101">
            <v>0</v>
          </cell>
          <cell r="N101">
            <v>0</v>
          </cell>
          <cell r="O101">
            <v>0</v>
          </cell>
          <cell r="P101">
            <v>0</v>
          </cell>
          <cell r="R101">
            <v>0</v>
          </cell>
          <cell r="S101">
            <v>0</v>
          </cell>
          <cell r="T101">
            <v>0</v>
          </cell>
          <cell r="U101">
            <v>0</v>
          </cell>
          <cell r="V101">
            <v>0</v>
          </cell>
          <cell r="W101">
            <v>0</v>
          </cell>
          <cell r="X101">
            <v>0</v>
          </cell>
          <cell r="Y101">
            <v>0</v>
          </cell>
          <cell r="Z101">
            <v>0</v>
          </cell>
          <cell r="AA101">
            <v>0</v>
          </cell>
          <cell r="AB101">
            <v>0</v>
          </cell>
          <cell r="AC101">
            <v>0</v>
          </cell>
        </row>
        <row r="102">
          <cell r="A102" t="str">
            <v>OB32</v>
          </cell>
          <cell r="B102" t="str">
            <v>VVZ Čira Čara</v>
          </cell>
          <cell r="C102" t="str">
            <v>Staneta Žagarja 6, 4000 Kranj</v>
          </cell>
          <cell r="D102">
            <v>382</v>
          </cell>
          <cell r="E102">
            <v>1947</v>
          </cell>
          <cell r="F102" t="str">
            <v>raba v kWh</v>
          </cell>
          <cell r="G102">
            <v>0</v>
          </cell>
          <cell r="H102">
            <v>0</v>
          </cell>
          <cell r="I102">
            <v>0</v>
          </cell>
          <cell r="J102">
            <v>22200</v>
          </cell>
          <cell r="K102">
            <v>22200</v>
          </cell>
          <cell r="L102">
            <v>58.1151832460733</v>
          </cell>
          <cell r="M102">
            <v>22200</v>
          </cell>
          <cell r="N102">
            <v>1375.66</v>
          </cell>
          <cell r="O102">
            <v>58.1151832460733</v>
          </cell>
          <cell r="P102">
            <v>61.966666666666669</v>
          </cell>
          <cell r="Q102">
            <v>0</v>
          </cell>
          <cell r="R102" t="str">
            <v>ELKO</v>
          </cell>
          <cell r="S102" t="str">
            <v>raba v kWh</v>
          </cell>
          <cell r="T102">
            <v>0</v>
          </cell>
          <cell r="U102">
            <v>0</v>
          </cell>
          <cell r="V102">
            <v>0</v>
          </cell>
          <cell r="W102">
            <v>70570.080000000002</v>
          </cell>
          <cell r="X102">
            <v>70570.080000000002</v>
          </cell>
          <cell r="Y102">
            <v>184.73842931937173</v>
          </cell>
          <cell r="Z102">
            <v>74481.836933526167</v>
          </cell>
          <cell r="AA102">
            <v>4560.9070539445611</v>
          </cell>
          <cell r="AB102">
            <v>194.97863071603709</v>
          </cell>
          <cell r="AC102">
            <v>61.235158015975038</v>
          </cell>
          <cell r="AD102">
            <v>446.89102160115704</v>
          </cell>
          <cell r="AE102">
            <v>5007.7980755457183</v>
          </cell>
        </row>
        <row r="103">
          <cell r="A103">
            <v>0</v>
          </cell>
          <cell r="B103">
            <v>0</v>
          </cell>
          <cell r="C103">
            <v>0</v>
          </cell>
          <cell r="D103">
            <v>0</v>
          </cell>
          <cell r="E103">
            <v>0</v>
          </cell>
          <cell r="F103" t="str">
            <v>stroški v €</v>
          </cell>
          <cell r="G103">
            <v>0</v>
          </cell>
          <cell r="H103">
            <v>0</v>
          </cell>
          <cell r="I103">
            <v>0</v>
          </cell>
          <cell r="J103">
            <v>1375.66</v>
          </cell>
          <cell r="K103">
            <v>1375.66</v>
          </cell>
          <cell r="L103">
            <v>0</v>
          </cell>
          <cell r="M103">
            <v>0</v>
          </cell>
          <cell r="N103">
            <v>0</v>
          </cell>
          <cell r="O103">
            <v>0</v>
          </cell>
          <cell r="P103">
            <v>0</v>
          </cell>
          <cell r="Q103">
            <v>0</v>
          </cell>
          <cell r="R103">
            <v>0</v>
          </cell>
          <cell r="S103" t="str">
            <v>stroški v €</v>
          </cell>
          <cell r="T103">
            <v>0</v>
          </cell>
          <cell r="U103">
            <v>0</v>
          </cell>
          <cell r="V103">
            <v>0</v>
          </cell>
          <cell r="W103">
            <v>4321.37</v>
          </cell>
          <cell r="X103">
            <v>4321.37</v>
          </cell>
          <cell r="Y103">
            <v>0</v>
          </cell>
          <cell r="Z103">
            <v>0</v>
          </cell>
          <cell r="AA103">
            <v>0</v>
          </cell>
          <cell r="AB103">
            <v>0</v>
          </cell>
          <cell r="AC103">
            <v>0</v>
          </cell>
        </row>
        <row r="104">
          <cell r="A104">
            <v>0</v>
          </cell>
          <cell r="D104">
            <v>0</v>
          </cell>
          <cell r="E104">
            <v>0</v>
          </cell>
          <cell r="F104">
            <v>0</v>
          </cell>
          <cell r="G104">
            <v>0</v>
          </cell>
          <cell r="H104">
            <v>0</v>
          </cell>
          <cell r="I104">
            <v>0</v>
          </cell>
          <cell r="J104">
            <v>0</v>
          </cell>
          <cell r="K104">
            <v>0</v>
          </cell>
          <cell r="L104">
            <v>0</v>
          </cell>
          <cell r="M104">
            <v>0</v>
          </cell>
          <cell r="N104">
            <v>0</v>
          </cell>
          <cell r="O104">
            <v>0</v>
          </cell>
          <cell r="P104">
            <v>0</v>
          </cell>
          <cell r="R104">
            <v>0</v>
          </cell>
          <cell r="S104">
            <v>0</v>
          </cell>
          <cell r="T104">
            <v>0</v>
          </cell>
          <cell r="U104">
            <v>0</v>
          </cell>
          <cell r="V104">
            <v>0</v>
          </cell>
          <cell r="W104">
            <v>0</v>
          </cell>
          <cell r="X104">
            <v>0</v>
          </cell>
          <cell r="Y104">
            <v>0</v>
          </cell>
          <cell r="Z104">
            <v>0</v>
          </cell>
          <cell r="AA104">
            <v>0</v>
          </cell>
          <cell r="AB104">
            <v>0</v>
          </cell>
          <cell r="AC104">
            <v>0</v>
          </cell>
        </row>
        <row r="105">
          <cell r="A105" t="str">
            <v>OB33</v>
          </cell>
          <cell r="B105" t="str">
            <v>VVZ Biba</v>
          </cell>
          <cell r="C105" t="str">
            <v>Zg. Bitnje 266, Zg. Bitnje, 4209 Žabnica</v>
          </cell>
          <cell r="D105">
            <v>175</v>
          </cell>
          <cell r="E105">
            <v>1973</v>
          </cell>
          <cell r="F105" t="str">
            <v>raba v kWh</v>
          </cell>
          <cell r="G105">
            <v>0</v>
          </cell>
          <cell r="H105">
            <v>0</v>
          </cell>
          <cell r="I105">
            <v>0</v>
          </cell>
          <cell r="J105">
            <v>4288</v>
          </cell>
          <cell r="K105">
            <v>4288</v>
          </cell>
          <cell r="L105">
            <v>24.502857142857142</v>
          </cell>
          <cell r="M105">
            <v>4288</v>
          </cell>
          <cell r="N105">
            <v>518.35</v>
          </cell>
          <cell r="O105">
            <v>24.502857142857142</v>
          </cell>
          <cell r="P105">
            <v>120.88386194029852</v>
          </cell>
          <cell r="Q105">
            <v>0</v>
          </cell>
          <cell r="R105" t="str">
            <v>ELKO</v>
          </cell>
          <cell r="S105" t="str">
            <v>raba v kWh</v>
          </cell>
          <cell r="T105">
            <v>0</v>
          </cell>
          <cell r="U105">
            <v>0</v>
          </cell>
          <cell r="V105">
            <v>0</v>
          </cell>
          <cell r="W105">
            <v>25200</v>
          </cell>
          <cell r="X105">
            <v>25200</v>
          </cell>
          <cell r="Y105">
            <v>144</v>
          </cell>
          <cell r="Z105">
            <v>26596.856496759807</v>
          </cell>
          <cell r="AA105">
            <v>1628.6669510255938</v>
          </cell>
          <cell r="AB105">
            <v>151.98203712434176</v>
          </cell>
          <cell r="AC105">
            <v>61.235317460317461</v>
          </cell>
          <cell r="AD105">
            <v>159.58113898055885</v>
          </cell>
          <cell r="AE105">
            <v>159.58113898055885</v>
          </cell>
        </row>
        <row r="106">
          <cell r="A106">
            <v>0</v>
          </cell>
          <cell r="B106">
            <v>0</v>
          </cell>
          <cell r="C106">
            <v>0</v>
          </cell>
          <cell r="D106">
            <v>0</v>
          </cell>
          <cell r="E106">
            <v>0</v>
          </cell>
          <cell r="F106" t="str">
            <v>stroški v €</v>
          </cell>
          <cell r="G106">
            <v>0</v>
          </cell>
          <cell r="H106">
            <v>0</v>
          </cell>
          <cell r="I106">
            <v>0</v>
          </cell>
          <cell r="J106">
            <v>518.35</v>
          </cell>
          <cell r="K106">
            <v>518.35</v>
          </cell>
          <cell r="L106">
            <v>0</v>
          </cell>
          <cell r="M106">
            <v>0</v>
          </cell>
          <cell r="N106">
            <v>0</v>
          </cell>
          <cell r="O106">
            <v>0</v>
          </cell>
          <cell r="P106">
            <v>0</v>
          </cell>
          <cell r="Q106">
            <v>0</v>
          </cell>
          <cell r="R106">
            <v>0</v>
          </cell>
          <cell r="S106" t="str">
            <v>stroški v €</v>
          </cell>
          <cell r="T106">
            <v>0</v>
          </cell>
          <cell r="U106">
            <v>0</v>
          </cell>
          <cell r="V106">
            <v>0</v>
          </cell>
          <cell r="W106">
            <v>1543.13</v>
          </cell>
          <cell r="X106">
            <v>1543.13</v>
          </cell>
          <cell r="Y106">
            <v>0</v>
          </cell>
          <cell r="Z106">
            <v>0</v>
          </cell>
          <cell r="AA106">
            <v>0</v>
          </cell>
          <cell r="AB106">
            <v>0</v>
          </cell>
          <cell r="AC106">
            <v>0</v>
          </cell>
        </row>
        <row r="107">
          <cell r="A107">
            <v>0</v>
          </cell>
          <cell r="D107">
            <v>0</v>
          </cell>
          <cell r="E107">
            <v>0</v>
          </cell>
          <cell r="F107">
            <v>0</v>
          </cell>
          <cell r="G107">
            <v>0</v>
          </cell>
          <cell r="H107">
            <v>0</v>
          </cell>
          <cell r="I107">
            <v>0</v>
          </cell>
          <cell r="J107">
            <v>0</v>
          </cell>
          <cell r="K107">
            <v>0</v>
          </cell>
          <cell r="L107">
            <v>0</v>
          </cell>
          <cell r="M107">
            <v>0</v>
          </cell>
          <cell r="N107">
            <v>0</v>
          </cell>
          <cell r="O107">
            <v>0</v>
          </cell>
          <cell r="P107">
            <v>0</v>
          </cell>
          <cell r="R107">
            <v>0</v>
          </cell>
          <cell r="S107">
            <v>0</v>
          </cell>
          <cell r="T107">
            <v>0</v>
          </cell>
          <cell r="U107">
            <v>0</v>
          </cell>
          <cell r="V107">
            <v>0</v>
          </cell>
          <cell r="W107">
            <v>0</v>
          </cell>
          <cell r="X107">
            <v>0</v>
          </cell>
          <cell r="Y107">
            <v>0</v>
          </cell>
          <cell r="Z107">
            <v>0</v>
          </cell>
          <cell r="AA107">
            <v>0</v>
          </cell>
          <cell r="AB107">
            <v>0</v>
          </cell>
          <cell r="AC107">
            <v>0</v>
          </cell>
        </row>
        <row r="108">
          <cell r="A108" t="str">
            <v>OB34</v>
          </cell>
          <cell r="B108" t="str">
            <v>VVZ Kekec</v>
          </cell>
          <cell r="C108" t="str">
            <v>Cesta Kokrškega odreda 9, 4000 Kranj</v>
          </cell>
          <cell r="D108">
            <v>282</v>
          </cell>
          <cell r="E108">
            <v>1959</v>
          </cell>
          <cell r="F108" t="str">
            <v>raba v kWh</v>
          </cell>
          <cell r="G108">
            <v>0</v>
          </cell>
          <cell r="H108">
            <v>0</v>
          </cell>
          <cell r="I108">
            <v>0</v>
          </cell>
          <cell r="J108">
            <v>10032</v>
          </cell>
          <cell r="K108">
            <v>10032</v>
          </cell>
          <cell r="L108">
            <v>35.574468085106382</v>
          </cell>
          <cell r="M108">
            <v>10032</v>
          </cell>
          <cell r="N108">
            <v>770.33</v>
          </cell>
          <cell r="O108">
            <v>35.574468085106382</v>
          </cell>
          <cell r="P108">
            <v>76.787280701754383</v>
          </cell>
          <cell r="Q108">
            <v>0</v>
          </cell>
          <cell r="R108" t="str">
            <v>ELKO</v>
          </cell>
          <cell r="S108" t="str">
            <v>raba v kWh</v>
          </cell>
          <cell r="T108">
            <v>0</v>
          </cell>
          <cell r="U108">
            <v>0</v>
          </cell>
          <cell r="V108">
            <v>0</v>
          </cell>
          <cell r="W108">
            <v>47648.160000000003</v>
          </cell>
          <cell r="X108">
            <v>47648.160000000003</v>
          </cell>
          <cell r="Y108">
            <v>168.96510638297875</v>
          </cell>
          <cell r="Z108">
            <v>50289.336264073449</v>
          </cell>
          <cell r="AA108">
            <v>2802.4010042589907</v>
          </cell>
          <cell r="AB108">
            <v>178.33097965983492</v>
          </cell>
          <cell r="AC108">
            <v>55.725551626757458</v>
          </cell>
          <cell r="AD108">
            <v>301.73601758444073</v>
          </cell>
          <cell r="AE108">
            <v>3104.1370218434313</v>
          </cell>
        </row>
        <row r="109">
          <cell r="A109">
            <v>0</v>
          </cell>
          <cell r="B109">
            <v>0</v>
          </cell>
          <cell r="C109">
            <v>0</v>
          </cell>
          <cell r="D109">
            <v>0</v>
          </cell>
          <cell r="E109">
            <v>0</v>
          </cell>
          <cell r="F109" t="str">
            <v>stroški v €</v>
          </cell>
          <cell r="G109">
            <v>0</v>
          </cell>
          <cell r="H109">
            <v>0</v>
          </cell>
          <cell r="I109">
            <v>0</v>
          </cell>
          <cell r="J109">
            <v>770.33</v>
          </cell>
          <cell r="K109">
            <v>770.33</v>
          </cell>
          <cell r="L109">
            <v>0</v>
          </cell>
          <cell r="M109">
            <v>0</v>
          </cell>
          <cell r="N109">
            <v>0</v>
          </cell>
          <cell r="O109">
            <v>0</v>
          </cell>
          <cell r="P109">
            <v>0</v>
          </cell>
          <cell r="Q109">
            <v>0</v>
          </cell>
          <cell r="R109">
            <v>0</v>
          </cell>
          <cell r="S109" t="str">
            <v>stroški v €</v>
          </cell>
          <cell r="T109">
            <v>0</v>
          </cell>
          <cell r="U109">
            <v>0</v>
          </cell>
          <cell r="V109">
            <v>0</v>
          </cell>
          <cell r="W109">
            <v>2655.22</v>
          </cell>
          <cell r="X109">
            <v>2655.22</v>
          </cell>
          <cell r="Y109">
            <v>0</v>
          </cell>
          <cell r="Z109">
            <v>0</v>
          </cell>
          <cell r="AA109">
            <v>0</v>
          </cell>
          <cell r="AB109">
            <v>0</v>
          </cell>
          <cell r="AC109">
            <v>0</v>
          </cell>
        </row>
        <row r="110">
          <cell r="A110">
            <v>0</v>
          </cell>
          <cell r="D110">
            <v>0</v>
          </cell>
          <cell r="E110">
            <v>0</v>
          </cell>
          <cell r="F110">
            <v>0</v>
          </cell>
          <cell r="G110">
            <v>0</v>
          </cell>
          <cell r="H110">
            <v>0</v>
          </cell>
          <cell r="I110">
            <v>0</v>
          </cell>
          <cell r="J110">
            <v>0</v>
          </cell>
          <cell r="K110">
            <v>0</v>
          </cell>
          <cell r="L110">
            <v>0</v>
          </cell>
          <cell r="M110">
            <v>0</v>
          </cell>
          <cell r="N110">
            <v>0</v>
          </cell>
          <cell r="O110">
            <v>0</v>
          </cell>
          <cell r="P110">
            <v>0</v>
          </cell>
          <cell r="R110">
            <v>0</v>
          </cell>
          <cell r="S110">
            <v>0</v>
          </cell>
          <cell r="T110">
            <v>0</v>
          </cell>
          <cell r="U110">
            <v>0</v>
          </cell>
          <cell r="V110">
            <v>0</v>
          </cell>
          <cell r="W110">
            <v>0</v>
          </cell>
          <cell r="X110">
            <v>0</v>
          </cell>
          <cell r="Y110">
            <v>0</v>
          </cell>
          <cell r="Z110">
            <v>0</v>
          </cell>
          <cell r="AA110">
            <v>0</v>
          </cell>
          <cell r="AB110">
            <v>0</v>
          </cell>
          <cell r="AC110">
            <v>0</v>
          </cell>
        </row>
        <row r="111">
          <cell r="A111" t="str">
            <v>OB35</v>
          </cell>
          <cell r="B111" t="str">
            <v>Splošna ambulanta Stražišče</v>
          </cell>
          <cell r="C111" t="str">
            <v>Baragov trg 2, 4000 Kranj</v>
          </cell>
          <cell r="D111">
            <v>721</v>
          </cell>
          <cell r="E111">
            <v>1980</v>
          </cell>
          <cell r="F111" t="str">
            <v>raba v kWh</v>
          </cell>
          <cell r="G111">
            <v>26769</v>
          </cell>
          <cell r="H111">
            <v>27159</v>
          </cell>
          <cell r="I111">
            <v>21099</v>
          </cell>
          <cell r="J111">
            <v>18743</v>
          </cell>
          <cell r="K111">
            <v>23442.5</v>
          </cell>
          <cell r="L111">
            <v>32.513869625520108</v>
          </cell>
          <cell r="M111">
            <v>23442.5</v>
          </cell>
          <cell r="N111">
            <v>1678.2200000000003</v>
          </cell>
          <cell r="O111">
            <v>32.513869625520108</v>
          </cell>
          <cell r="P111">
            <v>71.588781060040532</v>
          </cell>
          <cell r="Q111">
            <v>0</v>
          </cell>
          <cell r="R111" t="str">
            <v>ZP</v>
          </cell>
          <cell r="S111" t="str">
            <v>raba v kWh</v>
          </cell>
          <cell r="T111">
            <v>95570.559999999998</v>
          </cell>
          <cell r="U111">
            <v>66004.479999999996</v>
          </cell>
          <cell r="V111">
            <v>64645.119999999995</v>
          </cell>
          <cell r="W111">
            <v>123956.64</v>
          </cell>
          <cell r="X111">
            <v>75406.719999999987</v>
          </cell>
          <cell r="Y111">
            <v>104.58629680998611</v>
          </cell>
          <cell r="Z111">
            <v>79586.575822672516</v>
          </cell>
          <cell r="AA111">
            <v>3741.7344281524925</v>
          </cell>
          <cell r="AB111">
            <v>110.38360030883844</v>
          </cell>
          <cell r="AC111">
            <v>47.014642726802073</v>
          </cell>
          <cell r="AD111">
            <v>477.51945493603512</v>
          </cell>
          <cell r="AE111">
            <v>4219.2538830885278</v>
          </cell>
        </row>
        <row r="112">
          <cell r="A112">
            <v>0</v>
          </cell>
          <cell r="B112">
            <v>0</v>
          </cell>
          <cell r="C112">
            <v>0</v>
          </cell>
          <cell r="D112">
            <v>0</v>
          </cell>
          <cell r="E112">
            <v>0</v>
          </cell>
          <cell r="F112" t="str">
            <v>stroški v €</v>
          </cell>
          <cell r="G112">
            <v>0</v>
          </cell>
          <cell r="H112">
            <v>0</v>
          </cell>
          <cell r="I112">
            <v>1686.1799999999998</v>
          </cell>
          <cell r="J112">
            <v>1670.2600000000002</v>
          </cell>
          <cell r="K112">
            <v>1678.22</v>
          </cell>
          <cell r="L112">
            <v>0</v>
          </cell>
          <cell r="M112">
            <v>0</v>
          </cell>
          <cell r="N112">
            <v>0</v>
          </cell>
          <cell r="O112">
            <v>0</v>
          </cell>
          <cell r="P112">
            <v>0</v>
          </cell>
          <cell r="Q112">
            <v>0</v>
          </cell>
          <cell r="R112">
            <v>0</v>
          </cell>
          <cell r="S112" t="str">
            <v>stroški v €</v>
          </cell>
          <cell r="T112">
            <v>0</v>
          </cell>
          <cell r="U112">
            <v>0</v>
          </cell>
          <cell r="V112">
            <v>3545.22</v>
          </cell>
          <cell r="W112">
            <v>6038.4800000000005</v>
          </cell>
          <cell r="X112">
            <v>3545.22</v>
          </cell>
          <cell r="Y112">
            <v>0</v>
          </cell>
          <cell r="Z112">
            <v>0</v>
          </cell>
          <cell r="AA112">
            <v>0</v>
          </cell>
          <cell r="AB112">
            <v>0</v>
          </cell>
          <cell r="AC112">
            <v>0</v>
          </cell>
        </row>
        <row r="113">
          <cell r="A113">
            <v>0</v>
          </cell>
          <cell r="D113">
            <v>0</v>
          </cell>
          <cell r="E113">
            <v>0</v>
          </cell>
          <cell r="F113">
            <v>0</v>
          </cell>
          <cell r="G113">
            <v>0</v>
          </cell>
          <cell r="H113">
            <v>0</v>
          </cell>
          <cell r="I113">
            <v>0</v>
          </cell>
          <cell r="J113">
            <v>0</v>
          </cell>
          <cell r="K113">
            <v>0</v>
          </cell>
          <cell r="L113">
            <v>0</v>
          </cell>
          <cell r="M113">
            <v>0</v>
          </cell>
          <cell r="N113">
            <v>0</v>
          </cell>
          <cell r="O113">
            <v>0</v>
          </cell>
          <cell r="P113">
            <v>0</v>
          </cell>
          <cell r="R113">
            <v>0</v>
          </cell>
          <cell r="S113">
            <v>0</v>
          </cell>
          <cell r="T113">
            <v>0</v>
          </cell>
          <cell r="U113">
            <v>0</v>
          </cell>
          <cell r="V113">
            <v>0</v>
          </cell>
          <cell r="W113">
            <v>0</v>
          </cell>
          <cell r="X113">
            <v>0</v>
          </cell>
          <cell r="Y113">
            <v>0</v>
          </cell>
          <cell r="Z113">
            <v>0</v>
          </cell>
          <cell r="AA113">
            <v>0</v>
          </cell>
          <cell r="AB113">
            <v>0</v>
          </cell>
          <cell r="AC113">
            <v>0</v>
          </cell>
        </row>
        <row r="114">
          <cell r="A114" t="str">
            <v>OB36</v>
          </cell>
          <cell r="B114" t="str">
            <v>OŠ Stražišče</v>
          </cell>
          <cell r="C114" t="str">
            <v>Šolska ulica 2, 4000 Kranj</v>
          </cell>
          <cell r="D114">
            <v>4541</v>
          </cell>
          <cell r="E114">
            <v>1959</v>
          </cell>
          <cell r="F114" t="str">
            <v>raba v kWh</v>
          </cell>
          <cell r="G114">
            <v>126918.76799999998</v>
          </cell>
          <cell r="H114">
            <v>62058.360000000008</v>
          </cell>
          <cell r="I114">
            <v>66620.288</v>
          </cell>
          <cell r="J114">
            <v>105042.92</v>
          </cell>
          <cell r="K114">
            <v>90160.084000000003</v>
          </cell>
          <cell r="L114">
            <v>19.854676062541291</v>
          </cell>
          <cell r="M114">
            <v>90160.084000000003</v>
          </cell>
          <cell r="N114">
            <v>6536.6060900000002</v>
          </cell>
          <cell r="O114">
            <v>19.854676062541291</v>
          </cell>
          <cell r="P114">
            <v>72.5</v>
          </cell>
          <cell r="Q114">
            <v>0</v>
          </cell>
          <cell r="R114" t="str">
            <v>ZP</v>
          </cell>
          <cell r="S114" t="str">
            <v>raba v kWh</v>
          </cell>
          <cell r="T114">
            <v>856375.24</v>
          </cell>
          <cell r="U114">
            <v>717143.39999999991</v>
          </cell>
          <cell r="V114">
            <v>714715.16</v>
          </cell>
          <cell r="W114">
            <v>775057.88</v>
          </cell>
          <cell r="X114">
            <v>765822.91999999993</v>
          </cell>
          <cell r="Y114">
            <v>168.64631578947368</v>
          </cell>
          <cell r="Z114">
            <v>808273.10734799854</v>
          </cell>
          <cell r="AA114">
            <v>42611.887667718751</v>
          </cell>
          <cell r="AB114">
            <v>177.99451824443923</v>
          </cell>
          <cell r="AC114">
            <v>52.719665271966534</v>
          </cell>
          <cell r="AD114">
            <v>4849.6386440879905</v>
          </cell>
          <cell r="AE114">
            <v>47461.526311806738</v>
          </cell>
        </row>
        <row r="115">
          <cell r="A115">
            <v>0</v>
          </cell>
          <cell r="B115">
            <v>0</v>
          </cell>
          <cell r="C115">
            <v>0</v>
          </cell>
          <cell r="D115">
            <v>0</v>
          </cell>
          <cell r="E115">
            <v>0</v>
          </cell>
          <cell r="F115" t="str">
            <v>stroški v €</v>
          </cell>
          <cell r="G115">
            <v>9201.6106800000016</v>
          </cell>
          <cell r="H115">
            <v>4499.2310999999991</v>
          </cell>
          <cell r="I115">
            <v>4829.9708799999999</v>
          </cell>
          <cell r="J115">
            <v>7615.6116999999995</v>
          </cell>
          <cell r="K115">
            <v>6536.6060899999993</v>
          </cell>
          <cell r="L115">
            <v>0</v>
          </cell>
          <cell r="M115">
            <v>0</v>
          </cell>
          <cell r="N115">
            <v>0</v>
          </cell>
          <cell r="O115">
            <v>0</v>
          </cell>
          <cell r="P115">
            <v>0</v>
          </cell>
          <cell r="Q115">
            <v>0</v>
          </cell>
          <cell r="R115">
            <v>0</v>
          </cell>
          <cell r="S115" t="str">
            <v>stroški v €</v>
          </cell>
          <cell r="T115">
            <v>45147.815999999999</v>
          </cell>
          <cell r="U115">
            <v>37807.56</v>
          </cell>
          <cell r="V115">
            <v>37679.543999999994</v>
          </cell>
          <cell r="W115">
            <v>40860.792000000001</v>
          </cell>
          <cell r="X115">
            <v>40373.928</v>
          </cell>
          <cell r="Y115">
            <v>0</v>
          </cell>
          <cell r="Z115">
            <v>0</v>
          </cell>
          <cell r="AA115">
            <v>0</v>
          </cell>
          <cell r="AB115">
            <v>0</v>
          </cell>
          <cell r="AC115">
            <v>0</v>
          </cell>
        </row>
        <row r="116">
          <cell r="A116">
            <v>0</v>
          </cell>
          <cell r="D116">
            <v>0</v>
          </cell>
          <cell r="E116">
            <v>0</v>
          </cell>
          <cell r="F116">
            <v>0</v>
          </cell>
          <cell r="G116">
            <v>0</v>
          </cell>
          <cell r="H116">
            <v>0</v>
          </cell>
          <cell r="I116">
            <v>0</v>
          </cell>
          <cell r="J116">
            <v>0</v>
          </cell>
          <cell r="K116">
            <v>0</v>
          </cell>
          <cell r="L116">
            <v>0</v>
          </cell>
          <cell r="M116">
            <v>0</v>
          </cell>
          <cell r="N116">
            <v>0</v>
          </cell>
          <cell r="O116">
            <v>0</v>
          </cell>
          <cell r="P116">
            <v>0</v>
          </cell>
          <cell r="R116">
            <v>0</v>
          </cell>
          <cell r="S116">
            <v>0</v>
          </cell>
          <cell r="T116">
            <v>0</v>
          </cell>
          <cell r="U116">
            <v>0</v>
          </cell>
          <cell r="V116">
            <v>0</v>
          </cell>
          <cell r="W116">
            <v>0</v>
          </cell>
          <cell r="X116">
            <v>0</v>
          </cell>
          <cell r="Y116">
            <v>0</v>
          </cell>
          <cell r="Z116">
            <v>0</v>
          </cell>
          <cell r="AA116">
            <v>0</v>
          </cell>
          <cell r="AB116">
            <v>0</v>
          </cell>
          <cell r="AC116">
            <v>0</v>
          </cell>
        </row>
        <row r="117">
          <cell r="A117" t="str">
            <v>OB37</v>
          </cell>
          <cell r="B117" t="str">
            <v>OŠ Stražišče - PŠ Besnica</v>
          </cell>
          <cell r="C117" t="str">
            <v>V Čepuljah 19, 4201 Zg. Besnica</v>
          </cell>
          <cell r="D117">
            <v>164</v>
          </cell>
          <cell r="E117">
            <v>1992</v>
          </cell>
          <cell r="F117" t="str">
            <v>raba v kWh</v>
          </cell>
          <cell r="G117">
            <v>49445</v>
          </cell>
          <cell r="H117">
            <v>50086</v>
          </cell>
          <cell r="I117">
            <v>52044</v>
          </cell>
          <cell r="J117">
            <v>54583</v>
          </cell>
          <cell r="K117">
            <v>51539.5</v>
          </cell>
          <cell r="L117">
            <v>314.26524390243901</v>
          </cell>
          <cell r="M117">
            <v>51539.5</v>
          </cell>
          <cell r="N117">
            <v>6221</v>
          </cell>
          <cell r="O117">
            <v>314.26524390243901</v>
          </cell>
          <cell r="P117">
            <v>120.70353806303903</v>
          </cell>
          <cell r="Q117">
            <v>0</v>
          </cell>
          <cell r="R117" t="str">
            <v xml:space="preserve">BIOMASA [1] </v>
          </cell>
          <cell r="S117" t="str">
            <v>raba v kWh</v>
          </cell>
          <cell r="T117">
            <v>64551</v>
          </cell>
          <cell r="U117">
            <v>54280</v>
          </cell>
          <cell r="V117">
            <v>67010</v>
          </cell>
          <cell r="W117">
            <v>62150</v>
          </cell>
          <cell r="X117">
            <v>61997.75</v>
          </cell>
          <cell r="Y117">
            <v>378.03506097560978</v>
          </cell>
          <cell r="Z117">
            <v>65434.335709205967</v>
          </cell>
          <cell r="AA117">
            <v>13093.410812884047</v>
          </cell>
          <cell r="AB117">
            <v>398.98985188540223</v>
          </cell>
          <cell r="AC117">
            <v>200.10000362916398</v>
          </cell>
          <cell r="AD117">
            <v>392.60601425523578</v>
          </cell>
          <cell r="AE117">
            <v>13486.016827139283</v>
          </cell>
        </row>
        <row r="118">
          <cell r="A118">
            <v>0</v>
          </cell>
          <cell r="B118">
            <v>0</v>
          </cell>
          <cell r="C118">
            <v>0</v>
          </cell>
          <cell r="D118">
            <v>0</v>
          </cell>
          <cell r="E118">
            <v>0</v>
          </cell>
          <cell r="F118" t="str">
            <v>stroški v €</v>
          </cell>
          <cell r="G118">
            <v>6096</v>
          </cell>
          <cell r="H118">
            <v>6094</v>
          </cell>
          <cell r="I118">
            <v>6329</v>
          </cell>
          <cell r="J118">
            <v>6365</v>
          </cell>
          <cell r="K118">
            <v>6221</v>
          </cell>
          <cell r="L118">
            <v>0</v>
          </cell>
          <cell r="M118">
            <v>0</v>
          </cell>
          <cell r="N118">
            <v>0</v>
          </cell>
          <cell r="O118">
            <v>0</v>
          </cell>
          <cell r="P118">
            <v>0</v>
          </cell>
          <cell r="Q118">
            <v>0</v>
          </cell>
          <cell r="R118">
            <v>0</v>
          </cell>
          <cell r="S118" t="str">
            <v>stroški v €</v>
          </cell>
          <cell r="T118">
            <v>12529</v>
          </cell>
          <cell r="U118">
            <v>12033</v>
          </cell>
          <cell r="V118">
            <v>12624</v>
          </cell>
          <cell r="W118">
            <v>12437</v>
          </cell>
          <cell r="X118">
            <v>12405.75</v>
          </cell>
          <cell r="Y118">
            <v>0</v>
          </cell>
          <cell r="Z118">
            <v>0</v>
          </cell>
          <cell r="AA118">
            <v>0</v>
          </cell>
          <cell r="AB118">
            <v>0</v>
          </cell>
          <cell r="AC118">
            <v>0</v>
          </cell>
        </row>
        <row r="119">
          <cell r="A119">
            <v>0</v>
          </cell>
          <cell r="D119">
            <v>0</v>
          </cell>
          <cell r="E119">
            <v>0</v>
          </cell>
          <cell r="F119">
            <v>0</v>
          </cell>
          <cell r="G119">
            <v>0</v>
          </cell>
          <cell r="H119">
            <v>0</v>
          </cell>
          <cell r="I119">
            <v>0</v>
          </cell>
          <cell r="J119">
            <v>0</v>
          </cell>
          <cell r="K119">
            <v>0</v>
          </cell>
          <cell r="L119">
            <v>0</v>
          </cell>
          <cell r="M119">
            <v>0</v>
          </cell>
          <cell r="N119">
            <v>0</v>
          </cell>
          <cell r="O119">
            <v>0</v>
          </cell>
          <cell r="P119">
            <v>0</v>
          </cell>
          <cell r="R119">
            <v>0</v>
          </cell>
          <cell r="S119">
            <v>0</v>
          </cell>
          <cell r="T119">
            <v>0</v>
          </cell>
          <cell r="U119">
            <v>0</v>
          </cell>
          <cell r="V119">
            <v>0</v>
          </cell>
          <cell r="W119">
            <v>0</v>
          </cell>
          <cell r="X119">
            <v>0</v>
          </cell>
          <cell r="Y119">
            <v>0</v>
          </cell>
          <cell r="Z119">
            <v>0</v>
          </cell>
          <cell r="AA119">
            <v>0</v>
          </cell>
          <cell r="AB119">
            <v>0</v>
          </cell>
          <cell r="AC119">
            <v>0</v>
          </cell>
        </row>
        <row r="120">
          <cell r="A120" t="str">
            <v>OB38</v>
          </cell>
          <cell r="B120" t="str">
            <v>OŠ Stražišče - PŠ Žabnica</v>
          </cell>
          <cell r="C120" t="str">
            <v>Žabnica 20, 4209 Žabnica</v>
          </cell>
          <cell r="D120">
            <v>1104</v>
          </cell>
          <cell r="E120">
            <v>1908</v>
          </cell>
          <cell r="F120" t="str">
            <v>raba v kWh</v>
          </cell>
          <cell r="G120">
            <v>46470</v>
          </cell>
          <cell r="H120">
            <v>44400</v>
          </cell>
          <cell r="I120">
            <v>53070</v>
          </cell>
          <cell r="J120">
            <v>49150</v>
          </cell>
          <cell r="K120">
            <v>48272.5</v>
          </cell>
          <cell r="L120">
            <v>43.725090579710148</v>
          </cell>
          <cell r="M120">
            <v>48272.5</v>
          </cell>
          <cell r="N120">
            <v>5558.25</v>
          </cell>
          <cell r="O120">
            <v>43.725090579710148</v>
          </cell>
          <cell r="P120">
            <v>115.14319747268114</v>
          </cell>
          <cell r="Q120">
            <v>0</v>
          </cell>
          <cell r="R120" t="str">
            <v>UNP</v>
          </cell>
          <cell r="S120" t="str">
            <v>raba v kWh</v>
          </cell>
          <cell r="T120">
            <v>41308</v>
          </cell>
          <cell r="U120">
            <v>41167</v>
          </cell>
          <cell r="V120">
            <v>43898</v>
          </cell>
          <cell r="W120">
            <v>34423</v>
          </cell>
          <cell r="X120">
            <v>40199</v>
          </cell>
          <cell r="Y120">
            <v>36.412137681159422</v>
          </cell>
          <cell r="Z120">
            <v>42427.26326639871</v>
          </cell>
          <cell r="AA120">
            <v>3011.935683636043</v>
          </cell>
          <cell r="AB120">
            <v>38.430492089129267</v>
          </cell>
          <cell r="AC120">
            <v>70.990571904773745</v>
          </cell>
          <cell r="AD120">
            <v>254.56357959839224</v>
          </cell>
          <cell r="AE120">
            <v>254.56357959839224</v>
          </cell>
        </row>
        <row r="121">
          <cell r="A121">
            <v>0</v>
          </cell>
          <cell r="B121">
            <v>0</v>
          </cell>
          <cell r="C121">
            <v>0</v>
          </cell>
          <cell r="D121">
            <v>0</v>
          </cell>
          <cell r="E121">
            <v>0</v>
          </cell>
          <cell r="F121" t="str">
            <v>stroški v €</v>
          </cell>
          <cell r="G121">
            <v>5349</v>
          </cell>
          <cell r="H121">
            <v>4964</v>
          </cell>
          <cell r="I121">
            <v>6076</v>
          </cell>
          <cell r="J121">
            <v>5844</v>
          </cell>
          <cell r="K121">
            <v>5558.25</v>
          </cell>
          <cell r="L121">
            <v>0</v>
          </cell>
          <cell r="M121">
            <v>0</v>
          </cell>
          <cell r="N121">
            <v>0</v>
          </cell>
          <cell r="O121">
            <v>0</v>
          </cell>
          <cell r="P121">
            <v>0</v>
          </cell>
          <cell r="Q121">
            <v>0</v>
          </cell>
          <cell r="R121">
            <v>0</v>
          </cell>
          <cell r="S121" t="str">
            <v>stroški v €</v>
          </cell>
          <cell r="T121">
            <v>3382</v>
          </cell>
          <cell r="U121">
            <v>3185</v>
          </cell>
          <cell r="V121">
            <v>2904</v>
          </cell>
          <cell r="W121">
            <v>1944</v>
          </cell>
          <cell r="X121">
            <v>2853.75</v>
          </cell>
          <cell r="Y121">
            <v>0</v>
          </cell>
          <cell r="Z121">
            <v>0</v>
          </cell>
          <cell r="AA121">
            <v>0</v>
          </cell>
          <cell r="AB121">
            <v>0</v>
          </cell>
          <cell r="AC121">
            <v>0</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7" displayName="Tabela7" ref="A4:E21" totalsRowShown="0" headerRowDxfId="28" dataDxfId="27">
  <autoFilter ref="A4:E21" xr:uid="{00000000-0009-0000-0100-000001000000}"/>
  <tableColumns count="5">
    <tableColumn id="1" xr3:uid="{00000000-0010-0000-0000-000001000000}" name="Št." dataDxfId="26">
      <calculatedColumnFormula>'Referenčne količine'!A3</calculatedColumnFormula>
    </tableColumn>
    <tableColumn id="2" xr3:uid="{00000000-0010-0000-0000-000002000000}" name="ID" dataDxfId="25">
      <calculatedColumnFormula>'Referenčne količine'!B3</calculatedColumnFormula>
    </tableColumn>
    <tableColumn id="3" xr3:uid="{00000000-0010-0000-0000-000003000000}" name="Naziv objekta" dataDxfId="24">
      <calculatedColumnFormula>'Referenčne količine'!C3</calculatedColumnFormula>
    </tableColumn>
    <tableColumn id="4" xr3:uid="{00000000-0010-0000-0000-000004000000}" name="Naslov" dataDxfId="23">
      <calculatedColumnFormula>'Referenčne količine'!D3</calculatedColumnFormula>
    </tableColumn>
    <tableColumn id="5" xr3:uid="{00000000-0010-0000-0000-000005000000}" name="Tip objekta" dataDxfId="22"/>
  </tableColumns>
  <tableStyleInfo name="TableStyleMedium1"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27:I39"/>
  <sheetViews>
    <sheetView view="pageBreakPreview" zoomScaleNormal="100" zoomScaleSheetLayoutView="100" workbookViewId="0">
      <selection activeCell="E42" sqref="E42"/>
    </sheetView>
  </sheetViews>
  <sheetFormatPr defaultRowHeight="15" x14ac:dyDescent="0.25"/>
  <sheetData>
    <row r="27" spans="1:9" ht="26.25" x14ac:dyDescent="0.4">
      <c r="A27" s="669" t="s">
        <v>0</v>
      </c>
      <c r="B27" s="668"/>
      <c r="C27" s="668"/>
      <c r="D27" s="668"/>
      <c r="E27" s="668"/>
      <c r="F27" s="668"/>
      <c r="G27" s="668"/>
      <c r="H27" s="668"/>
      <c r="I27" s="668"/>
    </row>
    <row r="29" spans="1:9" ht="21" x14ac:dyDescent="0.35">
      <c r="A29" s="670" t="s">
        <v>56</v>
      </c>
      <c r="B29" s="670"/>
      <c r="C29" s="670"/>
      <c r="D29" s="670"/>
      <c r="E29" s="670"/>
      <c r="F29" s="670"/>
      <c r="G29" s="670"/>
      <c r="H29" s="670"/>
      <c r="I29" s="670"/>
    </row>
    <row r="31" spans="1:9" x14ac:dyDescent="0.25">
      <c r="A31" s="668" t="s">
        <v>73</v>
      </c>
      <c r="B31" s="668"/>
      <c r="C31" s="668"/>
      <c r="D31" s="668"/>
      <c r="E31" s="668"/>
      <c r="F31" s="668"/>
      <c r="G31" s="668"/>
      <c r="H31" s="668"/>
      <c r="I31" s="668"/>
    </row>
    <row r="32" spans="1:9" x14ac:dyDescent="0.25">
      <c r="A32" s="668" t="s">
        <v>74</v>
      </c>
      <c r="B32" s="668"/>
      <c r="C32" s="668"/>
      <c r="D32" s="668"/>
      <c r="E32" s="668"/>
      <c r="F32" s="668"/>
      <c r="G32" s="668"/>
      <c r="H32" s="668"/>
      <c r="I32" s="668"/>
    </row>
    <row r="33" spans="1:9" x14ac:dyDescent="0.25">
      <c r="A33" s="668" t="s">
        <v>422</v>
      </c>
      <c r="B33" s="668"/>
      <c r="C33" s="668"/>
      <c r="D33" s="668"/>
      <c r="E33" s="668"/>
      <c r="F33" s="668"/>
      <c r="G33" s="668"/>
      <c r="H33" s="668"/>
      <c r="I33" s="668"/>
    </row>
    <row r="34" spans="1:9" x14ac:dyDescent="0.25">
      <c r="A34" s="668" t="s">
        <v>423</v>
      </c>
      <c r="B34" s="668"/>
      <c r="C34" s="668"/>
      <c r="D34" s="668"/>
      <c r="E34" s="668"/>
      <c r="F34" s="668"/>
      <c r="G34" s="668"/>
      <c r="H34" s="668"/>
      <c r="I34" s="668"/>
    </row>
    <row r="35" spans="1:9" x14ac:dyDescent="0.25">
      <c r="A35" s="668" t="s">
        <v>424</v>
      </c>
      <c r="B35" s="668"/>
      <c r="C35" s="668"/>
      <c r="D35" s="668"/>
      <c r="E35" s="668"/>
      <c r="F35" s="668"/>
      <c r="G35" s="668"/>
      <c r="H35" s="668"/>
      <c r="I35" s="668"/>
    </row>
    <row r="36" spans="1:9" ht="15" customHeight="1" x14ac:dyDescent="0.25">
      <c r="A36" s="668" t="s">
        <v>425</v>
      </c>
      <c r="B36" s="668"/>
      <c r="C36" s="668"/>
      <c r="D36" s="668"/>
      <c r="E36" s="668"/>
      <c r="F36" s="668"/>
      <c r="G36" s="668"/>
      <c r="H36" s="668"/>
      <c r="I36" s="668"/>
    </row>
    <row r="37" spans="1:9" x14ac:dyDescent="0.25">
      <c r="A37" s="671" t="s">
        <v>347</v>
      </c>
      <c r="B37" s="668"/>
      <c r="C37" s="668"/>
      <c r="D37" s="668"/>
      <c r="E37" s="668"/>
      <c r="F37" s="668"/>
      <c r="G37" s="668"/>
      <c r="H37" s="668"/>
      <c r="I37" s="668"/>
    </row>
    <row r="38" spans="1:9" x14ac:dyDescent="0.25">
      <c r="A38" s="668" t="s">
        <v>58</v>
      </c>
      <c r="B38" s="668"/>
      <c r="C38" s="668"/>
      <c r="D38" s="668"/>
      <c r="E38" s="668"/>
      <c r="F38" s="668"/>
      <c r="G38" s="668"/>
      <c r="H38" s="668"/>
      <c r="I38" s="668"/>
    </row>
    <row r="39" spans="1:9" x14ac:dyDescent="0.25">
      <c r="A39" s="668" t="s">
        <v>111</v>
      </c>
      <c r="B39" s="668"/>
      <c r="C39" s="668"/>
      <c r="D39" s="668"/>
      <c r="E39" s="668"/>
      <c r="F39" s="668"/>
      <c r="G39" s="668"/>
      <c r="H39" s="668"/>
      <c r="I39" s="668"/>
    </row>
  </sheetData>
  <mergeCells count="11">
    <mergeCell ref="A39:I39"/>
    <mergeCell ref="A38:I38"/>
    <mergeCell ref="A27:I27"/>
    <mergeCell ref="A29:I29"/>
    <mergeCell ref="A35:I35"/>
    <mergeCell ref="A36:I36"/>
    <mergeCell ref="A33:I33"/>
    <mergeCell ref="A34:I34"/>
    <mergeCell ref="A37:I37"/>
    <mergeCell ref="A31:I31"/>
    <mergeCell ref="A32:I32"/>
  </mergeCells>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R8"/>
  <sheetViews>
    <sheetView view="pageBreakPreview" zoomScale="60" zoomScaleNormal="100" workbookViewId="0">
      <selection activeCell="A2" sqref="A2"/>
    </sheetView>
  </sheetViews>
  <sheetFormatPr defaultColWidth="9.140625" defaultRowHeight="15" x14ac:dyDescent="0.3"/>
  <cols>
    <col min="1" max="1" width="4.7109375" style="31" customWidth="1"/>
    <col min="2" max="2" width="11.140625" style="31" bestFit="1" customWidth="1"/>
    <col min="3" max="8" width="14.5703125" style="29" customWidth="1"/>
    <col min="9" max="9" width="15.7109375" style="29" customWidth="1"/>
    <col min="10" max="10" width="15.42578125" style="29" customWidth="1"/>
    <col min="11" max="11" width="16.42578125" style="29" customWidth="1"/>
    <col min="12" max="12" width="17.5703125" style="29" customWidth="1"/>
    <col min="13" max="13" width="9.140625" style="29"/>
    <col min="14" max="14" width="13.5703125" style="30" bestFit="1" customWidth="1"/>
    <col min="15" max="15" width="11.42578125" style="30" bestFit="1" customWidth="1"/>
    <col min="16" max="16" width="9.140625" style="30"/>
    <col min="17" max="18" width="10.28515625" style="30" bestFit="1" customWidth="1"/>
    <col min="19" max="16384" width="9.140625" style="29"/>
  </cols>
  <sheetData>
    <row r="1" spans="1:18" ht="18.75" x14ac:dyDescent="0.3">
      <c r="A1" s="730" t="s">
        <v>77</v>
      </c>
      <c r="B1" s="730"/>
      <c r="C1" s="730"/>
      <c r="D1" s="730"/>
      <c r="E1" s="730"/>
      <c r="F1" s="730"/>
      <c r="G1" s="730"/>
      <c r="H1" s="730"/>
      <c r="I1" s="730"/>
      <c r="J1" s="730"/>
      <c r="K1" s="730"/>
      <c r="L1" s="730"/>
    </row>
    <row r="2" spans="1:18" x14ac:dyDescent="0.3">
      <c r="N2" s="30" t="s">
        <v>40</v>
      </c>
      <c r="O2" s="30" t="s">
        <v>40</v>
      </c>
      <c r="P2" s="30" t="s">
        <v>40</v>
      </c>
      <c r="Q2" s="30" t="s">
        <v>40</v>
      </c>
      <c r="R2" s="30" t="s">
        <v>40</v>
      </c>
    </row>
    <row r="3" spans="1:18" ht="27" customHeight="1" x14ac:dyDescent="0.3">
      <c r="C3" s="731" t="s">
        <v>39</v>
      </c>
      <c r="D3" s="731"/>
      <c r="E3" s="731"/>
      <c r="F3" s="731" t="s">
        <v>38</v>
      </c>
      <c r="G3" s="731"/>
      <c r="H3" s="731"/>
      <c r="I3" s="733" t="s">
        <v>84</v>
      </c>
      <c r="J3" s="734"/>
      <c r="K3" s="732" t="s">
        <v>37</v>
      </c>
      <c r="L3" s="732" t="s">
        <v>36</v>
      </c>
      <c r="N3" s="46">
        <v>42</v>
      </c>
      <c r="O3" s="30">
        <v>43</v>
      </c>
      <c r="P3" s="30">
        <v>46</v>
      </c>
      <c r="Q3" s="30">
        <v>47</v>
      </c>
      <c r="R3" s="30">
        <v>48</v>
      </c>
    </row>
    <row r="4" spans="1:18" s="41" customFormat="1" x14ac:dyDescent="0.3">
      <c r="A4" s="45" t="s">
        <v>35</v>
      </c>
      <c r="B4" s="44" t="s">
        <v>34</v>
      </c>
      <c r="C4" s="43" t="s">
        <v>23</v>
      </c>
      <c r="D4" s="43" t="s">
        <v>21</v>
      </c>
      <c r="E4" s="43" t="s">
        <v>33</v>
      </c>
      <c r="F4" s="43" t="s">
        <v>23</v>
      </c>
      <c r="G4" s="43" t="s">
        <v>33</v>
      </c>
      <c r="H4" s="43" t="s">
        <v>21</v>
      </c>
      <c r="I4" s="61" t="s">
        <v>33</v>
      </c>
      <c r="J4" s="61" t="s">
        <v>21</v>
      </c>
      <c r="K4" s="732"/>
      <c r="L4" s="732"/>
      <c r="N4" s="42"/>
      <c r="O4" s="42"/>
      <c r="P4" s="42"/>
      <c r="Q4" s="42"/>
      <c r="R4" s="42"/>
    </row>
    <row r="5" spans="1:18" ht="15.75" x14ac:dyDescent="0.3">
      <c r="A5" s="6">
        <v>1</v>
      </c>
      <c r="B5" s="40" t="s">
        <v>32</v>
      </c>
      <c r="C5" s="38" t="e">
        <f>#REF!</f>
        <v>#REF!</v>
      </c>
      <c r="D5" s="36" t="e">
        <f>+#REF!</f>
        <v>#REF!</v>
      </c>
      <c r="E5" s="39" t="e">
        <f>#REF!</f>
        <v>#REF!</v>
      </c>
      <c r="F5" s="38" t="e">
        <f>#REF!</f>
        <v>#REF!</v>
      </c>
      <c r="G5" s="37" t="e">
        <f>#REF!</f>
        <v>#REF!</v>
      </c>
      <c r="H5" s="36" t="e">
        <f>#REF!</f>
        <v>#REF!</v>
      </c>
      <c r="I5" s="37" t="e">
        <f>#REF!</f>
        <v>#REF!</v>
      </c>
      <c r="J5" s="36" t="e">
        <f>#REF!</f>
        <v>#REF!</v>
      </c>
      <c r="K5" s="36" t="e">
        <f>D5+H5+J5</f>
        <v>#REF!</v>
      </c>
      <c r="L5" s="36" t="e">
        <f>#REF!</f>
        <v>#REF!</v>
      </c>
      <c r="N5" s="30" t="str">
        <f>"'"&amp;B5&amp;"'"&amp;"!"&amp;N$2&amp;$N$3</f>
        <v>'OB1'!C42</v>
      </c>
      <c r="O5" s="30" t="str">
        <f>"'"&amp;B5&amp;"'"&amp;"!"&amp;O$2&amp;O$3</f>
        <v>'OB1'!C43</v>
      </c>
      <c r="P5" s="30" t="str">
        <f t="shared" ref="P5:R7" si="0">"'"&amp;$B5&amp;"'"&amp;"!"&amp;P$2&amp;P$3</f>
        <v>'OB1'!C46</v>
      </c>
      <c r="Q5" s="30" t="str">
        <f t="shared" si="0"/>
        <v>'OB1'!C47</v>
      </c>
      <c r="R5" s="30" t="str">
        <f t="shared" si="0"/>
        <v>'OB1'!C48</v>
      </c>
    </row>
    <row r="6" spans="1:18" ht="15.75" x14ac:dyDescent="0.3">
      <c r="A6" s="6">
        <v>2</v>
      </c>
      <c r="B6" s="40" t="s">
        <v>75</v>
      </c>
      <c r="C6" s="38" t="e">
        <f>#REF!</f>
        <v>#REF!</v>
      </c>
      <c r="D6" s="36" t="e">
        <f>+#REF!</f>
        <v>#REF!</v>
      </c>
      <c r="E6" s="39" t="e">
        <f>#REF!</f>
        <v>#REF!</v>
      </c>
      <c r="F6" s="38" t="e">
        <f>#REF!</f>
        <v>#REF!</v>
      </c>
      <c r="G6" s="37" t="e">
        <f>#REF!</f>
        <v>#REF!</v>
      </c>
      <c r="H6" s="36" t="e">
        <f>#REF!</f>
        <v>#REF!</v>
      </c>
      <c r="I6" s="37" t="e">
        <f>#REF!</f>
        <v>#REF!</v>
      </c>
      <c r="J6" s="36" t="e">
        <f>#REF!</f>
        <v>#REF!</v>
      </c>
      <c r="K6" s="36" t="e">
        <f>D6+H6+J6</f>
        <v>#REF!</v>
      </c>
      <c r="L6" s="36" t="e">
        <f>#REF!</f>
        <v>#REF!</v>
      </c>
      <c r="N6" s="30" t="str">
        <f>"'"&amp;B6&amp;"'"&amp;"!"&amp;N$2&amp;$N$3</f>
        <v>'OB2'!C42</v>
      </c>
      <c r="O6" s="30" t="str">
        <f>"'"&amp;B6&amp;"'"&amp;"!"&amp;O$2&amp;O$3</f>
        <v>'OB2'!C43</v>
      </c>
      <c r="P6" s="30" t="str">
        <f t="shared" si="0"/>
        <v>'OB2'!C46</v>
      </c>
      <c r="Q6" s="30" t="str">
        <f t="shared" si="0"/>
        <v>'OB2'!C47</v>
      </c>
      <c r="R6" s="30" t="str">
        <f t="shared" si="0"/>
        <v>'OB2'!C48</v>
      </c>
    </row>
    <row r="7" spans="1:18" ht="15.75" x14ac:dyDescent="0.3">
      <c r="A7" s="6">
        <v>3</v>
      </c>
      <c r="B7" s="40" t="s">
        <v>76</v>
      </c>
      <c r="C7" s="38">
        <f>'OB3'!$D$40</f>
        <v>0</v>
      </c>
      <c r="D7" s="36">
        <f>+'OB3'!$D$43</f>
        <v>0</v>
      </c>
      <c r="E7" s="39">
        <f>'OB3'!$D$44</f>
        <v>0</v>
      </c>
      <c r="F7" s="38">
        <f>'OB3'!$D$47</f>
        <v>0</v>
      </c>
      <c r="G7" s="37">
        <f>'OB3'!$D$48</f>
        <v>0</v>
      </c>
      <c r="H7" s="36">
        <f>'OB3'!$D$49</f>
        <v>0</v>
      </c>
      <c r="I7" s="37">
        <f>'OB3'!$D$52</f>
        <v>0</v>
      </c>
      <c r="J7" s="36">
        <f>'OB3'!$D$53</f>
        <v>0</v>
      </c>
      <c r="K7" s="36">
        <f>D7+H7+J7</f>
        <v>0</v>
      </c>
      <c r="L7" s="36">
        <f>'OB3'!$D$56</f>
        <v>0</v>
      </c>
      <c r="N7" s="30" t="str">
        <f>"'"&amp;B7&amp;"'"&amp;"!"&amp;N$2&amp;$N$3</f>
        <v>'OB3'!C42</v>
      </c>
      <c r="O7" s="30" t="str">
        <f>"'"&amp;B7&amp;"'"&amp;"!"&amp;O$2&amp;O$3</f>
        <v>'OB3'!C43</v>
      </c>
      <c r="P7" s="30" t="str">
        <f t="shared" si="0"/>
        <v>'OB3'!C46</v>
      </c>
      <c r="Q7" s="30" t="str">
        <f t="shared" si="0"/>
        <v>'OB3'!C47</v>
      </c>
      <c r="R7" s="30" t="str">
        <f t="shared" si="0"/>
        <v>'OB3'!C48</v>
      </c>
    </row>
    <row r="8" spans="1:18" x14ac:dyDescent="0.3">
      <c r="A8" s="729" t="s">
        <v>5</v>
      </c>
      <c r="B8" s="729"/>
      <c r="C8" s="34" t="e">
        <f>SUM(C5:C7)</f>
        <v>#REF!</v>
      </c>
      <c r="D8" s="32" t="e">
        <f>SUM(D5:D7)</f>
        <v>#REF!</v>
      </c>
      <c r="E8" s="35" t="e">
        <f>AVERAGE(E5:E7)</f>
        <v>#REF!</v>
      </c>
      <c r="F8" s="34" t="e">
        <f>SUM(F5:F7)</f>
        <v>#REF!</v>
      </c>
      <c r="G8" s="33" t="e">
        <f>AVERAGE(G5:G7)</f>
        <v>#REF!</v>
      </c>
      <c r="H8" s="32" t="e">
        <f>SUM(H5:H7)</f>
        <v>#REF!</v>
      </c>
      <c r="I8" s="66" t="e">
        <f>AVERAGE(I5:I7)</f>
        <v>#REF!</v>
      </c>
      <c r="J8" s="32" t="e">
        <f>SUM(J5:J7)</f>
        <v>#REF!</v>
      </c>
      <c r="K8" s="32" t="e">
        <f>SUM(K5:K7)</f>
        <v>#REF!</v>
      </c>
      <c r="L8" s="32" t="e">
        <f>SUM(L5:L7)</f>
        <v>#REF!</v>
      </c>
    </row>
  </sheetData>
  <mergeCells count="7">
    <mergeCell ref="A8:B8"/>
    <mergeCell ref="A1:L1"/>
    <mergeCell ref="C3:E3"/>
    <mergeCell ref="F3:H3"/>
    <mergeCell ref="K3:K4"/>
    <mergeCell ref="L3:L4"/>
    <mergeCell ref="I3:J3"/>
  </mergeCells>
  <pageMargins left="0.7" right="0.7" top="0.75" bottom="0.75" header="0.3" footer="0.3"/>
  <pageSetup paperSize="9" scale="5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Q108"/>
  <sheetViews>
    <sheetView topLeftCell="A25" zoomScale="110" zoomScaleNormal="110" zoomScaleSheetLayoutView="110" zoomScalePageLayoutView="110" workbookViewId="0">
      <selection activeCell="A50" sqref="A50:C50"/>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33" customHeight="1" x14ac:dyDescent="0.2">
      <c r="A4" s="94" t="s">
        <v>30</v>
      </c>
      <c r="B4" s="741" t="str">
        <f ca="1">VLOOKUP($B$6,'Referenčne količine'!$B$3:$AQ$17,2,)</f>
        <v>OŠ KAPELE</v>
      </c>
      <c r="C4" s="742"/>
    </row>
    <row r="5" spans="1:7" x14ac:dyDescent="0.2">
      <c r="A5" s="94" t="s">
        <v>29</v>
      </c>
      <c r="B5" s="735" t="str">
        <f ca="1">VLOOKUP($B$6,'Referenčne količine'!$B$3:$AQ$17,3,)</f>
        <v>Kapele 4a, Kapele</v>
      </c>
      <c r="C5" s="736"/>
    </row>
    <row r="6" spans="1:7" x14ac:dyDescent="0.2">
      <c r="A6" s="94" t="s">
        <v>28</v>
      </c>
      <c r="B6" s="735" t="str">
        <f ca="1">RIGHT(CELL("filename",A1),4)</f>
        <v>OB10</v>
      </c>
      <c r="C6" s="736"/>
    </row>
    <row r="7" spans="1:7" x14ac:dyDescent="0.2">
      <c r="A7" s="94" t="s">
        <v>27</v>
      </c>
      <c r="B7" s="735">
        <f ca="1">VLOOKUP($B$6,'Referenčne količine'!$B$3:$AQ$17,6,)</f>
        <v>844</v>
      </c>
      <c r="C7" s="736"/>
      <c r="F7" s="95"/>
      <c r="G7" s="95"/>
    </row>
    <row r="8" spans="1:7" ht="13.5" thickBot="1" x14ac:dyDescent="0.25">
      <c r="A8" s="96" t="s">
        <v>26</v>
      </c>
      <c r="B8" s="746" t="str">
        <f ca="1">VLOOKUP($B$6,'Referenčne količine'!$B$3:$AQ$17,15,)</f>
        <v>ELKO</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88507.88</v>
      </c>
      <c r="C12" s="425">
        <f ca="1">VLOOKUP($B$6,'Referenčne količine'!$B$3:$AQ$17,22,)</f>
        <v>88507.88</v>
      </c>
      <c r="E12" s="100"/>
      <c r="F12" s="100"/>
    </row>
    <row r="13" spans="1:7" x14ac:dyDescent="0.2">
      <c r="A13" s="85" t="s">
        <v>136</v>
      </c>
      <c r="B13" s="101">
        <f ca="1">VLOOKUP($B$6,'Referenčne količine'!$B$3:$AQ$17,24,)</f>
        <v>70806.304000000004</v>
      </c>
      <c r="C13" s="101">
        <f ca="1">VLOOKUP($B$6,'Referenčne količine'!$B$3:$AQ$17,25,)</f>
        <v>70806.304000000004</v>
      </c>
      <c r="E13" s="100"/>
      <c r="F13" s="100"/>
    </row>
    <row r="14" spans="1:7" x14ac:dyDescent="0.2">
      <c r="A14" s="86" t="s">
        <v>122</v>
      </c>
      <c r="B14" s="102"/>
      <c r="C14" s="102">
        <f ca="1">VLOOKUP($B$6,'Referenčne količine'!$B$3:$AQ$17,29,)</f>
        <v>55228.917120000006</v>
      </c>
      <c r="E14" s="95"/>
      <c r="F14" s="95"/>
    </row>
    <row r="15" spans="1:7" x14ac:dyDescent="0.2">
      <c r="A15" s="566" t="s">
        <v>333</v>
      </c>
      <c r="B15" s="102"/>
      <c r="C15" s="102">
        <f ca="1">VLOOKUP($B$6,'Referenčne količine'!$B$3:$AQ$17,30,)</f>
        <v>10620.945600000001</v>
      </c>
      <c r="E15" s="95"/>
      <c r="F15" s="95"/>
    </row>
    <row r="16" spans="1:7" x14ac:dyDescent="0.2">
      <c r="A16" s="86" t="s">
        <v>123</v>
      </c>
      <c r="B16" s="102"/>
      <c r="C16" s="102">
        <f ca="1">VLOOKUP($B$6,'Referenčne količine'!$B$3:$AQ$17,31,)</f>
        <v>4956.4412800000009</v>
      </c>
      <c r="E16" s="100"/>
      <c r="F16" s="100"/>
    </row>
    <row r="17" spans="1:6" x14ac:dyDescent="0.2">
      <c r="A17" s="86" t="s">
        <v>124</v>
      </c>
      <c r="B17" s="590">
        <f ca="1">VLOOKUP($B$6,'Referenčne količine'!$B$3:$AQ$17,19,)</f>
        <v>7126.38</v>
      </c>
      <c r="C17" s="590">
        <f ca="1">VLOOKUP($B$6,'Referenčne količine'!$B$3:$AQ$17,28,)</f>
        <v>7126.3799999999992</v>
      </c>
      <c r="E17" s="100"/>
      <c r="F17" s="100"/>
    </row>
    <row r="18" spans="1:6" ht="13.5" thickBot="1" x14ac:dyDescent="0.25">
      <c r="A18" s="104" t="s">
        <v>137</v>
      </c>
      <c r="B18" s="105">
        <f ca="1">VLOOKUP($B$6,'Referenčne količine'!$B$3:$AQ$17,26,)/1000</f>
        <v>0.10064612326043737</v>
      </c>
      <c r="C18" s="105">
        <f ca="1">VLOOKUP($B$6,'Referenčne količine'!$B$3:$AQ$17,26,)/1000</f>
        <v>0.10064612326043737</v>
      </c>
      <c r="E18" s="100"/>
      <c r="F18" s="100"/>
    </row>
    <row r="19" spans="1:6" x14ac:dyDescent="0.2">
      <c r="A19" s="84" t="s">
        <v>127</v>
      </c>
      <c r="B19" s="99">
        <f ca="1">VLOOKUP($B$6,'Referenčne količine'!$B$3:$AQ$17,32,)</f>
        <v>31920</v>
      </c>
      <c r="C19" s="99">
        <f ca="1">VLOOKUP($B$6,'Referenčne količine'!$B$3:$AQ$17,36,)</f>
        <v>31920</v>
      </c>
      <c r="E19" s="100"/>
      <c r="F19" s="100"/>
    </row>
    <row r="20" spans="1:6" x14ac:dyDescent="0.2">
      <c r="A20" s="88" t="s">
        <v>128</v>
      </c>
      <c r="B20" s="102"/>
      <c r="C20" s="101">
        <f ca="1">VLOOKUP($B$6,'Referenčne količine'!$B$3:$AQ$17,38,)</f>
        <v>15912.21</v>
      </c>
      <c r="E20" s="100"/>
      <c r="F20" s="100"/>
    </row>
    <row r="21" spans="1:6" x14ac:dyDescent="0.2">
      <c r="A21" s="88" t="s">
        <v>129</v>
      </c>
      <c r="B21" s="101"/>
      <c r="C21" s="101">
        <f ca="1">VLOOKUP($B$6,'Referenčne količine'!$B$3:$AQ$17,39,)</f>
        <v>16007.79</v>
      </c>
      <c r="E21" s="100"/>
      <c r="F21" s="100"/>
    </row>
    <row r="22" spans="1:6" x14ac:dyDescent="0.2">
      <c r="A22" s="89" t="s">
        <v>130</v>
      </c>
      <c r="B22" s="106">
        <f ca="1">VLOOKUP($B$6,'Referenčne količine'!$B$3:$AQ$17,33,)</f>
        <v>3388.5266666666666</v>
      </c>
      <c r="C22" s="103">
        <f ca="1">VLOOKUP($B$6,'Referenčne količine'!$B$3:$AQ$17,37,)</f>
        <v>3388.5266666666666</v>
      </c>
      <c r="D22" s="346"/>
      <c r="E22" s="100"/>
      <c r="F22" s="100"/>
    </row>
    <row r="23" spans="1:6" ht="13.5" thickBot="1" x14ac:dyDescent="0.25">
      <c r="A23" s="90" t="s">
        <v>131</v>
      </c>
      <c r="B23" s="524">
        <f ca="1">VLOOKUP($B$6,'Referenčne količine'!$B$3:$AQ$17,34,)</f>
        <v>0.10615685045948203</v>
      </c>
      <c r="C23" s="524">
        <f ca="1">VLOOKUP($B$6,'Referenčne količine'!$B$3:$AQ$17,34,)</f>
        <v>0.10615685045948203</v>
      </c>
      <c r="E23" s="100"/>
      <c r="F23" s="100"/>
    </row>
    <row r="24" spans="1:6" ht="14.45" customHeight="1" thickBot="1" x14ac:dyDescent="0.25">
      <c r="A24" s="594" t="s">
        <v>132</v>
      </c>
      <c r="B24" s="595">
        <f ca="1">VLOOKUP($B$6,'Referenčne količine'!$B$3:$AQ$17,41,)</f>
        <v>1688</v>
      </c>
      <c r="C24" s="596"/>
      <c r="E24" s="100"/>
      <c r="F24" s="100"/>
    </row>
    <row r="25" spans="1:6" ht="13.5" thickBot="1" x14ac:dyDescent="0.25">
      <c r="F25" s="571">
        <f ca="1">VALUE(RIGHT(CELL("filename",A1),2))</f>
        <v>10</v>
      </c>
    </row>
    <row r="26" spans="1:6" x14ac:dyDescent="0.2">
      <c r="A26" s="738" t="s">
        <v>138</v>
      </c>
      <c r="B26" s="739"/>
      <c r="C26" s="740"/>
      <c r="F26" s="572">
        <v>1</v>
      </c>
    </row>
    <row r="27" spans="1:6" x14ac:dyDescent="0.2">
      <c r="A27" s="568" t="s">
        <v>475</v>
      </c>
      <c r="B27" s="569"/>
      <c r="C27" s="570"/>
      <c r="D27" s="107"/>
      <c r="F27" s="572">
        <f t="shared" ref="F27:F44" si="0">F26+1</f>
        <v>2</v>
      </c>
    </row>
    <row r="28" spans="1:6" ht="13.15" customHeight="1" x14ac:dyDescent="0.2">
      <c r="A28" s="743" t="s">
        <v>476</v>
      </c>
      <c r="B28" s="744"/>
      <c r="C28" s="745"/>
      <c r="E28" s="107"/>
      <c r="F28" s="572">
        <f t="shared" si="0"/>
        <v>3</v>
      </c>
    </row>
    <row r="29" spans="1:6" x14ac:dyDescent="0.2">
      <c r="A29" s="743" t="s">
        <v>477</v>
      </c>
      <c r="B29" s="744"/>
      <c r="C29" s="745"/>
      <c r="E29" s="107"/>
      <c r="F29" s="572">
        <f t="shared" si="0"/>
        <v>4</v>
      </c>
    </row>
    <row r="30" spans="1:6" x14ac:dyDescent="0.2">
      <c r="A30" s="743" t="s">
        <v>478</v>
      </c>
      <c r="B30" s="744"/>
      <c r="C30" s="745"/>
      <c r="E30" s="107"/>
      <c r="F30" s="572">
        <f t="shared" si="0"/>
        <v>5</v>
      </c>
    </row>
    <row r="31" spans="1:6" x14ac:dyDescent="0.2">
      <c r="A31" s="743" t="s">
        <v>476</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94666.4068478033</v>
      </c>
    </row>
    <row r="47" spans="1:17" x14ac:dyDescent="0.2">
      <c r="A47" s="751" t="s">
        <v>140</v>
      </c>
      <c r="B47" s="752"/>
      <c r="C47" s="110">
        <f>C46*0.22</f>
        <v>20826.609506516725</v>
      </c>
      <c r="D47" s="95"/>
    </row>
    <row r="48" spans="1:17" ht="13.5" thickBot="1" x14ac:dyDescent="0.25">
      <c r="A48" s="755" t="s">
        <v>141</v>
      </c>
      <c r="B48" s="756"/>
      <c r="C48" s="111">
        <f>C47+C46</f>
        <v>115493.01635432002</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68077.995494272007</v>
      </c>
      <c r="E51" s="112"/>
      <c r="F51" s="112"/>
      <c r="G51" s="112"/>
      <c r="H51" s="112"/>
      <c r="I51" s="112"/>
      <c r="J51" s="112"/>
      <c r="K51" s="112"/>
      <c r="L51" s="112"/>
      <c r="M51" s="112"/>
      <c r="N51" s="112"/>
      <c r="O51" s="112"/>
      <c r="P51" s="112"/>
      <c r="Q51" s="112"/>
    </row>
    <row r="52" spans="1:17" x14ac:dyDescent="0.2">
      <c r="A52" s="757" t="s">
        <v>218</v>
      </c>
      <c r="B52" s="758"/>
      <c r="C52" s="116">
        <v>4.6692644135188872E-2</v>
      </c>
      <c r="E52" s="112"/>
      <c r="F52" s="112"/>
      <c r="G52" s="112"/>
      <c r="H52" s="112"/>
      <c r="I52" s="112"/>
      <c r="J52" s="112"/>
      <c r="K52" s="112"/>
      <c r="L52" s="112"/>
      <c r="M52" s="112"/>
      <c r="N52" s="112"/>
      <c r="O52" s="112"/>
      <c r="P52" s="112"/>
      <c r="Q52" s="112"/>
    </row>
    <row r="53" spans="1:17" x14ac:dyDescent="0.2">
      <c r="A53" s="751" t="s">
        <v>213</v>
      </c>
      <c r="B53" s="752"/>
      <c r="C53" s="117">
        <f ca="1">IF(C51=0, 0,C13- C51)</f>
        <v>2728.3085057279968</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3178.7416170510342</v>
      </c>
      <c r="E55" s="112"/>
      <c r="F55" s="112"/>
      <c r="G55" s="112"/>
      <c r="H55" s="112"/>
      <c r="I55" s="112"/>
      <c r="J55" s="112"/>
      <c r="K55" s="112"/>
      <c r="L55" s="112"/>
      <c r="M55" s="112"/>
      <c r="N55" s="112"/>
      <c r="O55" s="112"/>
      <c r="P55" s="112"/>
      <c r="Q55" s="112"/>
    </row>
    <row r="56" spans="1:17" x14ac:dyDescent="0.2">
      <c r="A56" s="577" t="s">
        <v>219</v>
      </c>
      <c r="B56" s="578"/>
      <c r="C56" s="120">
        <f ca="1">(C53+C54)*C18+C51*(C18-C52)</f>
        <v>3947.638382948966</v>
      </c>
      <c r="E56" s="112"/>
      <c r="F56" s="112"/>
      <c r="G56" s="112"/>
      <c r="H56" s="112"/>
      <c r="I56" s="112"/>
      <c r="J56" s="112"/>
      <c r="K56" s="112"/>
      <c r="L56" s="112"/>
      <c r="M56" s="112"/>
      <c r="N56" s="112"/>
      <c r="O56" s="112"/>
      <c r="P56" s="112"/>
      <c r="Q56" s="112"/>
    </row>
    <row r="57" spans="1:17" x14ac:dyDescent="0.2">
      <c r="A57" s="577" t="s">
        <v>216</v>
      </c>
      <c r="B57" s="578"/>
      <c r="C57" s="121">
        <f ca="1">(C53+C54)/C14</f>
        <v>4.9399999999999937E-2</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21411.18</v>
      </c>
      <c r="E59" s="347"/>
    </row>
    <row r="60" spans="1:17" x14ac:dyDescent="0.2">
      <c r="A60" s="751" t="s">
        <v>142</v>
      </c>
      <c r="B60" s="752"/>
      <c r="C60" s="116">
        <f ca="1">C23</f>
        <v>0.10615685045948203</v>
      </c>
    </row>
    <row r="61" spans="1:17" x14ac:dyDescent="0.2">
      <c r="A61" s="751" t="s">
        <v>143</v>
      </c>
      <c r="B61" s="752"/>
      <c r="C61" s="117">
        <f ca="1">IF(C59=0,0,C19-C59)</f>
        <v>10508.82</v>
      </c>
      <c r="D61" s="347"/>
    </row>
    <row r="62" spans="1:17" x14ac:dyDescent="0.2">
      <c r="A62" s="751" t="s">
        <v>144</v>
      </c>
      <c r="B62" s="752"/>
      <c r="C62" s="140">
        <v>10765.128531912478</v>
      </c>
    </row>
    <row r="63" spans="1:17" x14ac:dyDescent="0.2">
      <c r="A63" s="751" t="s">
        <v>145</v>
      </c>
      <c r="B63" s="752"/>
      <c r="C63" s="119">
        <f ca="1">C59*C60</f>
        <v>2272.9434334210528</v>
      </c>
    </row>
    <row r="64" spans="1:17" x14ac:dyDescent="0.2">
      <c r="A64" s="579" t="s">
        <v>146</v>
      </c>
      <c r="B64" s="580"/>
      <c r="C64" s="120">
        <f ca="1">(C61+C62)*C60+C59*(C23-C60)</f>
        <v>2258.3753729849504</v>
      </c>
    </row>
    <row r="65" spans="1:3" x14ac:dyDescent="0.2">
      <c r="A65" s="751" t="s">
        <v>147</v>
      </c>
      <c r="B65" s="752"/>
      <c r="C65" s="121">
        <f ca="1">(C61+C62)/C19</f>
        <v>0.66647708433309771</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0.99999940758293837</v>
      </c>
    </row>
    <row r="69" spans="1:3" ht="15.75" thickBot="1" x14ac:dyDescent="0.35">
      <c r="A69" s="581" t="s">
        <v>150</v>
      </c>
      <c r="B69" s="582"/>
      <c r="C69" s="601">
        <f ca="1">IF(C67=0,0,C68*B24)</f>
        <v>1687.999</v>
      </c>
    </row>
    <row r="70" spans="1:3" ht="13.5" thickBot="1" x14ac:dyDescent="0.25">
      <c r="C70" s="108"/>
    </row>
    <row r="71" spans="1:3" ht="13.5" thickBot="1" x14ac:dyDescent="0.25">
      <c r="A71" s="760" t="s">
        <v>357</v>
      </c>
      <c r="B71" s="761"/>
      <c r="C71" s="127">
        <f ca="1">C56+C64+C69</f>
        <v>7894.0127559339162</v>
      </c>
    </row>
    <row r="72" spans="1:3" ht="13.5" thickBot="1" x14ac:dyDescent="0.25">
      <c r="A72" s="762" t="s">
        <v>9</v>
      </c>
      <c r="B72" s="763"/>
      <c r="C72" s="128">
        <f ca="1">C91</f>
        <v>87768.692214950453</v>
      </c>
    </row>
    <row r="74" spans="1:3" x14ac:dyDescent="0.2">
      <c r="A74" s="764" t="s">
        <v>8</v>
      </c>
      <c r="B74" s="764"/>
      <c r="C74" s="764"/>
    </row>
    <row r="75" spans="1:3" x14ac:dyDescent="0.2">
      <c r="A75" s="567" t="s">
        <v>7</v>
      </c>
      <c r="B75" s="567" t="s">
        <v>6</v>
      </c>
      <c r="C75" s="567" t="s">
        <v>5</v>
      </c>
    </row>
    <row r="76" spans="1:3" x14ac:dyDescent="0.2">
      <c r="A76" s="129">
        <v>1</v>
      </c>
      <c r="B76" s="130">
        <f ca="1">$C$71</f>
        <v>7894.0127559339162</v>
      </c>
      <c r="C76" s="131">
        <f t="shared" ref="C76:C90" ca="1" si="1">B76/(1+$B$93)^A76</f>
        <v>7590.3968807056881</v>
      </c>
    </row>
    <row r="77" spans="1:3" x14ac:dyDescent="0.2">
      <c r="A77" s="129">
        <v>2</v>
      </c>
      <c r="B77" s="130">
        <f t="shared" ref="B77:B90" ca="1" si="2">$C$71</f>
        <v>7894.0127559339162</v>
      </c>
      <c r="C77" s="131">
        <f t="shared" ca="1" si="1"/>
        <v>7298.4585391400842</v>
      </c>
    </row>
    <row r="78" spans="1:3" x14ac:dyDescent="0.2">
      <c r="A78" s="129">
        <v>3</v>
      </c>
      <c r="B78" s="130">
        <f t="shared" ca="1" si="2"/>
        <v>7894.0127559339162</v>
      </c>
      <c r="C78" s="131">
        <f t="shared" ca="1" si="1"/>
        <v>7017.7485953270043</v>
      </c>
    </row>
    <row r="79" spans="1:3" x14ac:dyDescent="0.2">
      <c r="A79" s="129">
        <v>4</v>
      </c>
      <c r="B79" s="130">
        <f t="shared" ca="1" si="2"/>
        <v>7894.0127559339162</v>
      </c>
      <c r="C79" s="131">
        <f t="shared" ca="1" si="1"/>
        <v>6747.8351878144267</v>
      </c>
    </row>
    <row r="80" spans="1:3" x14ac:dyDescent="0.2">
      <c r="A80" s="129">
        <v>5</v>
      </c>
      <c r="B80" s="130">
        <f t="shared" ca="1" si="2"/>
        <v>7894.0127559339162</v>
      </c>
      <c r="C80" s="131">
        <f t="shared" ca="1" si="1"/>
        <v>6488.3030652061789</v>
      </c>
    </row>
    <row r="81" spans="1:3" x14ac:dyDescent="0.2">
      <c r="A81" s="129">
        <v>6</v>
      </c>
      <c r="B81" s="130">
        <f t="shared" ca="1" si="2"/>
        <v>7894.0127559339162</v>
      </c>
      <c r="C81" s="131">
        <f t="shared" ca="1" si="1"/>
        <v>6238.7529473136337</v>
      </c>
    </row>
    <row r="82" spans="1:3" x14ac:dyDescent="0.2">
      <c r="A82" s="129">
        <v>7</v>
      </c>
      <c r="B82" s="130">
        <f t="shared" ca="1" si="2"/>
        <v>7894.0127559339162</v>
      </c>
      <c r="C82" s="131">
        <f t="shared" ca="1" si="1"/>
        <v>5998.8009108784945</v>
      </c>
    </row>
    <row r="83" spans="1:3" x14ac:dyDescent="0.2">
      <c r="A83" s="129">
        <v>8</v>
      </c>
      <c r="B83" s="130">
        <f t="shared" ca="1" si="2"/>
        <v>7894.0127559339162</v>
      </c>
      <c r="C83" s="131">
        <f t="shared" ca="1" si="1"/>
        <v>5768.0777989216285</v>
      </c>
    </row>
    <row r="84" spans="1:3" x14ac:dyDescent="0.2">
      <c r="A84" s="129">
        <v>9</v>
      </c>
      <c r="B84" s="130">
        <f t="shared" ca="1" si="2"/>
        <v>7894.0127559339162</v>
      </c>
      <c r="C84" s="131">
        <f t="shared" ca="1" si="1"/>
        <v>5546.2286528092573</v>
      </c>
    </row>
    <row r="85" spans="1:3" x14ac:dyDescent="0.2">
      <c r="A85" s="129">
        <v>10</v>
      </c>
      <c r="B85" s="130">
        <f t="shared" ca="1" si="2"/>
        <v>7894.0127559339162</v>
      </c>
      <c r="C85" s="131">
        <f t="shared" ca="1" si="1"/>
        <v>5332.9121661627478</v>
      </c>
    </row>
    <row r="86" spans="1:3" x14ac:dyDescent="0.2">
      <c r="A86" s="129">
        <v>11</v>
      </c>
      <c r="B86" s="130">
        <f t="shared" ca="1" si="2"/>
        <v>7894.0127559339162</v>
      </c>
      <c r="C86" s="131">
        <f t="shared" ca="1" si="1"/>
        <v>5127.800159771873</v>
      </c>
    </row>
    <row r="87" spans="1:3" x14ac:dyDescent="0.2">
      <c r="A87" s="129">
        <v>12</v>
      </c>
      <c r="B87" s="130">
        <f t="shared" ca="1" si="2"/>
        <v>7894.0127559339162</v>
      </c>
      <c r="C87" s="131">
        <f t="shared" ca="1" si="1"/>
        <v>4930.5770767037229</v>
      </c>
    </row>
    <row r="88" spans="1:3" x14ac:dyDescent="0.2">
      <c r="A88" s="129">
        <v>13</v>
      </c>
      <c r="B88" s="130">
        <f t="shared" ca="1" si="2"/>
        <v>7894.0127559339162</v>
      </c>
      <c r="C88" s="131">
        <f t="shared" ca="1" si="1"/>
        <v>4740.9394968305023</v>
      </c>
    </row>
    <row r="89" spans="1:3" x14ac:dyDescent="0.2">
      <c r="A89" s="129">
        <v>14</v>
      </c>
      <c r="B89" s="130">
        <f t="shared" ca="1" si="2"/>
        <v>7894.0127559339162</v>
      </c>
      <c r="C89" s="131">
        <f t="shared" ca="1" si="1"/>
        <v>4558.59567002933</v>
      </c>
    </row>
    <row r="90" spans="1:3" x14ac:dyDescent="0.2">
      <c r="A90" s="129">
        <v>15</v>
      </c>
      <c r="B90" s="130">
        <f t="shared" ca="1" si="2"/>
        <v>7894.0127559339162</v>
      </c>
      <c r="C90" s="131">
        <f t="shared" ca="1" si="1"/>
        <v>4383.2650673358939</v>
      </c>
    </row>
    <row r="91" spans="1:3" x14ac:dyDescent="0.2">
      <c r="A91" s="759" t="s">
        <v>4</v>
      </c>
      <c r="B91" s="759"/>
      <c r="C91" s="132">
        <f ca="1">SUM(C76:C90)</f>
        <v>87768.692214950453</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0.8</v>
      </c>
      <c r="C98" s="394">
        <f t="shared" ref="C98:C103" si="3">B98*$C$51</f>
        <v>54462.396395417607</v>
      </c>
      <c r="D98" s="138">
        <v>21784.958558167044</v>
      </c>
      <c r="E98" s="139"/>
    </row>
    <row r="99" spans="1:5" x14ac:dyDescent="0.2">
      <c r="A99" s="137" t="s">
        <v>257</v>
      </c>
      <c r="B99" s="422">
        <v>0</v>
      </c>
      <c r="C99" s="394">
        <f t="shared" si="3"/>
        <v>0</v>
      </c>
      <c r="D99" s="138">
        <v>0</v>
      </c>
    </row>
    <row r="100" spans="1:5" x14ac:dyDescent="0.2">
      <c r="A100" s="137" t="s">
        <v>96</v>
      </c>
      <c r="B100" s="422">
        <v>0.2</v>
      </c>
      <c r="C100" s="394">
        <f t="shared" si="3"/>
        <v>13615.599098854402</v>
      </c>
      <c r="D100" s="138">
        <v>15128.443443171556</v>
      </c>
    </row>
    <row r="101" spans="1:5" s="112" customFormat="1" x14ac:dyDescent="0.2">
      <c r="A101" s="137" t="s">
        <v>340</v>
      </c>
      <c r="B101" s="422">
        <v>0</v>
      </c>
      <c r="C101" s="394">
        <f t="shared" si="3"/>
        <v>0</v>
      </c>
      <c r="D101" s="138">
        <v>0</v>
      </c>
    </row>
    <row r="102" spans="1:5" x14ac:dyDescent="0.2">
      <c r="A102" s="137" t="s">
        <v>154</v>
      </c>
      <c r="B102" s="422">
        <v>0</v>
      </c>
      <c r="C102" s="394">
        <f t="shared" si="3"/>
        <v>0</v>
      </c>
      <c r="D102" s="138">
        <v>0</v>
      </c>
    </row>
    <row r="103" spans="1:5" x14ac:dyDescent="0.2">
      <c r="A103" s="137" t="s">
        <v>341</v>
      </c>
      <c r="B103" s="422">
        <v>0</v>
      </c>
      <c r="C103" s="394">
        <f t="shared" si="3"/>
        <v>0</v>
      </c>
      <c r="D103" s="138">
        <v>0</v>
      </c>
    </row>
    <row r="104" spans="1:5" x14ac:dyDescent="0.2">
      <c r="A104" s="135" t="s">
        <v>5</v>
      </c>
      <c r="B104" s="423">
        <f>SUM(B98:B103)</f>
        <v>1</v>
      </c>
      <c r="C104" s="424">
        <f>SUM(C98:C103)</f>
        <v>68077.995494272007</v>
      </c>
      <c r="D104" s="424">
        <f>SUM(D98:D103)</f>
        <v>36913.402001338603</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1234.94</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9"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Q108"/>
  <sheetViews>
    <sheetView topLeftCell="A25" zoomScale="110" zoomScaleNormal="110" zoomScaleSheetLayoutView="110" zoomScalePageLayoutView="110" workbookViewId="0">
      <selection activeCell="C47" sqref="C47"/>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33" customHeight="1" x14ac:dyDescent="0.2">
      <c r="A4" s="94" t="s">
        <v>30</v>
      </c>
      <c r="B4" s="741" t="str">
        <f ca="1">VLOOKUP($B$6,'Referenčne količine'!$B$3:$AQ$17,2,)</f>
        <v>OŠ BREŽICE</v>
      </c>
      <c r="C4" s="742"/>
    </row>
    <row r="5" spans="1:7" x14ac:dyDescent="0.2">
      <c r="A5" s="94" t="s">
        <v>29</v>
      </c>
      <c r="B5" s="735" t="str">
        <f ca="1">VLOOKUP($B$6,'Referenčne količine'!$B$3:$AQ$17,3,)</f>
        <v>Levstikova ulica 18, 8250 Brežice</v>
      </c>
      <c r="C5" s="736"/>
    </row>
    <row r="6" spans="1:7" x14ac:dyDescent="0.2">
      <c r="A6" s="94" t="s">
        <v>28</v>
      </c>
      <c r="B6" s="735" t="str">
        <f ca="1">RIGHT(CELL("filename",A1),4)</f>
        <v>OB12</v>
      </c>
      <c r="C6" s="736"/>
    </row>
    <row r="7" spans="1:7" x14ac:dyDescent="0.2">
      <c r="A7" s="94" t="s">
        <v>27</v>
      </c>
      <c r="B7" s="735">
        <f ca="1">VLOOKUP($B$6,'Referenčne količine'!$B$3:$AQ$17,6,)</f>
        <v>6218</v>
      </c>
      <c r="C7" s="736"/>
      <c r="F7" s="95"/>
      <c r="G7" s="95"/>
    </row>
    <row r="8" spans="1:7" ht="13.5" thickBot="1" x14ac:dyDescent="0.25">
      <c r="A8" s="96" t="s">
        <v>26</v>
      </c>
      <c r="B8" s="746" t="str">
        <f ca="1">VLOOKUP($B$6,'Referenčne količine'!$B$3:$AQ$17,15,)</f>
        <v>ZP</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403431.1166666667</v>
      </c>
      <c r="C12" s="425">
        <f ca="1">VLOOKUP($B$6,'Referenčne količine'!$B$3:$AQ$17,22,)</f>
        <v>403431.1166666667</v>
      </c>
      <c r="E12" s="100"/>
      <c r="F12" s="100"/>
    </row>
    <row r="13" spans="1:7" x14ac:dyDescent="0.2">
      <c r="A13" s="85" t="s">
        <v>136</v>
      </c>
      <c r="B13" s="101">
        <f ca="1">VLOOKUP($B$6,'Referenčne količine'!$B$3:$AQ$17,24,)</f>
        <v>342916.44916666666</v>
      </c>
      <c r="C13" s="101">
        <f ca="1">VLOOKUP($B$6,'Referenčne količine'!$B$3:$AQ$17,25,)</f>
        <v>342916.44916666666</v>
      </c>
      <c r="E13" s="100"/>
      <c r="F13" s="100"/>
    </row>
    <row r="14" spans="1:7" x14ac:dyDescent="0.2">
      <c r="A14" s="86" t="s">
        <v>122</v>
      </c>
      <c r="B14" s="102"/>
      <c r="C14" s="102">
        <f ca="1">VLOOKUP($B$6,'Referenčne količine'!$B$3:$AQ$17,29,)</f>
        <v>244156.51180666665</v>
      </c>
      <c r="E14" s="95"/>
      <c r="F14" s="95"/>
    </row>
    <row r="15" spans="1:7" x14ac:dyDescent="0.2">
      <c r="A15" s="566" t="s">
        <v>333</v>
      </c>
      <c r="B15" s="102"/>
      <c r="C15" s="102">
        <f ca="1">VLOOKUP($B$6,'Referenčne količine'!$B$3:$AQ$17,30,)</f>
        <v>68583.289833333329</v>
      </c>
      <c r="E15" s="95"/>
      <c r="F15" s="95"/>
    </row>
    <row r="16" spans="1:7" x14ac:dyDescent="0.2">
      <c r="A16" s="86" t="s">
        <v>123</v>
      </c>
      <c r="B16" s="102"/>
      <c r="C16" s="102">
        <f ca="1">VLOOKUP($B$6,'Referenčne količine'!$B$3:$AQ$17,31,)</f>
        <v>30176.647526666664</v>
      </c>
      <c r="E16" s="100"/>
      <c r="F16" s="100"/>
    </row>
    <row r="17" spans="1:6" x14ac:dyDescent="0.2">
      <c r="A17" s="86" t="s">
        <v>124</v>
      </c>
      <c r="B17" s="590">
        <f ca="1">VLOOKUP($B$6,'Referenčne količine'!$B$3:$AQ$17,19,)</f>
        <v>21180.133625000002</v>
      </c>
      <c r="C17" s="590">
        <f ca="1">VLOOKUP($B$6,'Referenčne količine'!$B$3:$AQ$17,28,)</f>
        <v>21180.133625000002</v>
      </c>
      <c r="E17" s="100"/>
      <c r="F17" s="100"/>
    </row>
    <row r="18" spans="1:6" ht="13.5" thickBot="1" x14ac:dyDescent="0.25">
      <c r="A18" s="104" t="s">
        <v>137</v>
      </c>
      <c r="B18" s="105">
        <f ca="1">VLOOKUP($B$6,'Referenčne količine'!$B$3:$AQ$17,26,)/1000</f>
        <v>6.1764705882352951E-2</v>
      </c>
      <c r="C18" s="105">
        <f ca="1">VLOOKUP($B$6,'Referenčne količine'!$B$3:$AQ$17,26,)/1000</f>
        <v>6.1764705882352951E-2</v>
      </c>
      <c r="E18" s="100"/>
      <c r="F18" s="100"/>
    </row>
    <row r="19" spans="1:6" x14ac:dyDescent="0.2">
      <c r="A19" s="84" t="s">
        <v>127</v>
      </c>
      <c r="B19" s="99">
        <f ca="1">VLOOKUP($B$6,'Referenčne količine'!$B$3:$AQ$17,32,)</f>
        <v>114356</v>
      </c>
      <c r="C19" s="99">
        <f ca="1">VLOOKUP($B$6,'Referenčne količine'!$B$3:$AQ$17,36,)</f>
        <v>114356</v>
      </c>
      <c r="E19" s="100"/>
      <c r="F19" s="100"/>
    </row>
    <row r="20" spans="1:6" x14ac:dyDescent="0.2">
      <c r="A20" s="88" t="s">
        <v>128</v>
      </c>
      <c r="B20" s="102"/>
      <c r="C20" s="101">
        <f ca="1">VLOOKUP($B$6,'Referenčne količine'!$B$3:$AQ$17,38,)</f>
        <v>88606.81</v>
      </c>
      <c r="E20" s="100"/>
      <c r="F20" s="100"/>
    </row>
    <row r="21" spans="1:6" x14ac:dyDescent="0.2">
      <c r="A21" s="88" t="s">
        <v>129</v>
      </c>
      <c r="B21" s="101"/>
      <c r="C21" s="101">
        <f ca="1">VLOOKUP($B$6,'Referenčne količine'!$B$3:$AQ$17,39,)</f>
        <v>25749.190000000002</v>
      </c>
      <c r="E21" s="100"/>
      <c r="F21" s="100"/>
    </row>
    <row r="22" spans="1:6" x14ac:dyDescent="0.2">
      <c r="A22" s="89" t="s">
        <v>130</v>
      </c>
      <c r="B22" s="106">
        <f ca="1">VLOOKUP($B$6,'Referenčne količine'!$B$3:$AQ$17,33,)</f>
        <v>13590.745739999998</v>
      </c>
      <c r="C22" s="103">
        <f ca="1">VLOOKUP($B$6,'Referenčne količine'!$B$3:$AQ$17,37,)</f>
        <v>13590.745739999998</v>
      </c>
      <c r="D22" s="346"/>
      <c r="E22" s="100"/>
      <c r="F22" s="100"/>
    </row>
    <row r="23" spans="1:6" ht="13.5" thickBot="1" x14ac:dyDescent="0.25">
      <c r="A23" s="90" t="s">
        <v>131</v>
      </c>
      <c r="B23" s="524">
        <f ca="1">VLOOKUP($B$6,'Referenčne količine'!$B$3:$AQ$17,34,)</f>
        <v>0.11884593497499037</v>
      </c>
      <c r="C23" s="524">
        <f ca="1">VLOOKUP($B$6,'Referenčne količine'!$B$3:$AQ$17,34,)</f>
        <v>0.11884593497499037</v>
      </c>
      <c r="E23" s="100"/>
      <c r="F23" s="100"/>
    </row>
    <row r="24" spans="1:6" ht="14.45" customHeight="1" thickBot="1" x14ac:dyDescent="0.25">
      <c r="A24" s="594" t="s">
        <v>132</v>
      </c>
      <c r="B24" s="595">
        <f ca="1">VLOOKUP($B$6,'Referenčne količine'!$B$3:$AQ$17,41,)</f>
        <v>12436</v>
      </c>
      <c r="C24" s="596"/>
      <c r="E24" s="100"/>
      <c r="F24" s="100"/>
    </row>
    <row r="25" spans="1:6" ht="13.5" thickBot="1" x14ac:dyDescent="0.25">
      <c r="F25" s="571">
        <f ca="1">VALUE(RIGHT(CELL("filename",A1),2))</f>
        <v>12</v>
      </c>
    </row>
    <row r="26" spans="1:6" x14ac:dyDescent="0.2">
      <c r="A26" s="738" t="s">
        <v>138</v>
      </c>
      <c r="B26" s="739"/>
      <c r="C26" s="740"/>
      <c r="F26" s="572">
        <v>1</v>
      </c>
    </row>
    <row r="27" spans="1:6" x14ac:dyDescent="0.2">
      <c r="A27" s="568" t="s">
        <v>475</v>
      </c>
      <c r="B27" s="569"/>
      <c r="C27" s="570"/>
      <c r="D27" s="107"/>
      <c r="F27" s="572">
        <f t="shared" ref="F27:F44" si="0">F26+1</f>
        <v>2</v>
      </c>
    </row>
    <row r="28" spans="1:6" ht="13.15" customHeight="1" x14ac:dyDescent="0.2">
      <c r="A28" s="743" t="s">
        <v>479</v>
      </c>
      <c r="B28" s="744"/>
      <c r="C28" s="745"/>
      <c r="E28" s="107"/>
      <c r="F28" s="572">
        <f t="shared" si="0"/>
        <v>3</v>
      </c>
    </row>
    <row r="29" spans="1:6" x14ac:dyDescent="0.2">
      <c r="A29" s="743" t="s">
        <v>480</v>
      </c>
      <c r="B29" s="744"/>
      <c r="C29" s="745"/>
      <c r="E29" s="107"/>
      <c r="F29" s="572">
        <f t="shared" si="0"/>
        <v>4</v>
      </c>
    </row>
    <row r="30" spans="1:6" x14ac:dyDescent="0.2">
      <c r="A30" s="743" t="s">
        <v>477</v>
      </c>
      <c r="B30" s="744"/>
      <c r="C30" s="745"/>
      <c r="E30" s="107"/>
      <c r="F30" s="572">
        <f t="shared" si="0"/>
        <v>5</v>
      </c>
    </row>
    <row r="31" spans="1:6" x14ac:dyDescent="0.2">
      <c r="A31" s="743" t="s">
        <v>481</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162373.01196971873</v>
      </c>
    </row>
    <row r="47" spans="1:17" x14ac:dyDescent="0.2">
      <c r="A47" s="751" t="s">
        <v>140</v>
      </c>
      <c r="B47" s="752"/>
      <c r="C47" s="110">
        <f>C46*0.22</f>
        <v>35722.062633338122</v>
      </c>
      <c r="D47" s="95"/>
    </row>
    <row r="48" spans="1:17" ht="13.5" thickBot="1" x14ac:dyDescent="0.25">
      <c r="A48" s="755" t="s">
        <v>141</v>
      </c>
      <c r="B48" s="756"/>
      <c r="C48" s="111">
        <f>C47+C46</f>
        <v>198095.07460305686</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314027.14839681395</v>
      </c>
      <c r="E51" s="112"/>
      <c r="F51" s="112"/>
      <c r="G51" s="112"/>
      <c r="H51" s="112"/>
      <c r="I51" s="112"/>
      <c r="J51" s="112"/>
      <c r="K51" s="112"/>
      <c r="L51" s="112"/>
      <c r="M51" s="112"/>
      <c r="N51" s="112"/>
      <c r="O51" s="112"/>
      <c r="P51" s="112"/>
      <c r="Q51" s="112"/>
    </row>
    <row r="52" spans="1:17" x14ac:dyDescent="0.2">
      <c r="A52" s="757" t="s">
        <v>218</v>
      </c>
      <c r="B52" s="758"/>
      <c r="C52" s="116">
        <v>5.211026733164726E-2</v>
      </c>
      <c r="E52" s="112"/>
      <c r="F52" s="112"/>
      <c r="G52" s="112"/>
      <c r="H52" s="112"/>
      <c r="I52" s="112"/>
      <c r="J52" s="112"/>
      <c r="K52" s="112"/>
      <c r="L52" s="112"/>
      <c r="M52" s="112"/>
      <c r="N52" s="112"/>
      <c r="O52" s="112"/>
      <c r="P52" s="112"/>
      <c r="Q52" s="112"/>
    </row>
    <row r="53" spans="1:17" x14ac:dyDescent="0.2">
      <c r="A53" s="751" t="s">
        <v>213</v>
      </c>
      <c r="B53" s="752"/>
      <c r="C53" s="117">
        <f ca="1">IF(C51=0, 0,C13- C51)</f>
        <v>28889.300769852707</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16364.03865235284</v>
      </c>
      <c r="E55" s="112"/>
      <c r="F55" s="112"/>
      <c r="G55" s="112"/>
      <c r="H55" s="112"/>
      <c r="I55" s="112"/>
      <c r="J55" s="112"/>
      <c r="K55" s="112"/>
      <c r="L55" s="112"/>
      <c r="M55" s="112"/>
      <c r="N55" s="112"/>
      <c r="O55" s="112"/>
      <c r="P55" s="112"/>
      <c r="Q55" s="112"/>
    </row>
    <row r="56" spans="1:17" x14ac:dyDescent="0.2">
      <c r="A56" s="577" t="s">
        <v>219</v>
      </c>
      <c r="B56" s="578"/>
      <c r="C56" s="120">
        <f ca="1">(C53+C54)*C18+C51*(C18-C52)</f>
        <v>4816.0949726471626</v>
      </c>
      <c r="E56" s="112"/>
      <c r="F56" s="112"/>
      <c r="G56" s="112"/>
      <c r="H56" s="112"/>
      <c r="I56" s="112"/>
      <c r="J56" s="112"/>
      <c r="K56" s="112"/>
      <c r="L56" s="112"/>
      <c r="M56" s="112"/>
      <c r="N56" s="112"/>
      <c r="O56" s="112"/>
      <c r="P56" s="112"/>
      <c r="Q56" s="112"/>
    </row>
    <row r="57" spans="1:17" x14ac:dyDescent="0.2">
      <c r="A57" s="577" t="s">
        <v>216</v>
      </c>
      <c r="B57" s="578"/>
      <c r="C57" s="121">
        <f ca="1">(C53+C54)/C14</f>
        <v>0.11832287640449445</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58125.217999999993</v>
      </c>
      <c r="E59" s="347"/>
    </row>
    <row r="60" spans="1:17" x14ac:dyDescent="0.2">
      <c r="A60" s="751" t="s">
        <v>142</v>
      </c>
      <c r="B60" s="752"/>
      <c r="C60" s="116">
        <f ca="1">C23</f>
        <v>0.11884593497499037</v>
      </c>
    </row>
    <row r="61" spans="1:17" x14ac:dyDescent="0.2">
      <c r="A61" s="751" t="s">
        <v>143</v>
      </c>
      <c r="B61" s="752"/>
      <c r="C61" s="117">
        <f ca="1">IF(C59=0,0,C19-C59)</f>
        <v>56230.782000000007</v>
      </c>
      <c r="D61" s="347"/>
    </row>
    <row r="62" spans="1:17" x14ac:dyDescent="0.2">
      <c r="A62" s="751" t="s">
        <v>144</v>
      </c>
      <c r="B62" s="752"/>
      <c r="C62" s="140">
        <v>61148.504591017241</v>
      </c>
    </row>
    <row r="63" spans="1:17" x14ac:dyDescent="0.2">
      <c r="A63" s="751" t="s">
        <v>145</v>
      </c>
      <c r="B63" s="752"/>
      <c r="C63" s="119">
        <f ca="1">C59*C60</f>
        <v>6907.9458788351385</v>
      </c>
    </row>
    <row r="64" spans="1:17" x14ac:dyDescent="0.2">
      <c r="A64" s="579" t="s">
        <v>146</v>
      </c>
      <c r="B64" s="580"/>
      <c r="C64" s="120">
        <f ca="1">(C61+C62)*C60+C59*(C23-C60)</f>
        <v>13950.051061606793</v>
      </c>
    </row>
    <row r="65" spans="1:3" x14ac:dyDescent="0.2">
      <c r="A65" s="751" t="s">
        <v>147</v>
      </c>
      <c r="B65" s="752"/>
      <c r="C65" s="121">
        <f ca="1">(C61+C62)/C19</f>
        <v>1.0264374986097557</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0.99999991958829204</v>
      </c>
    </row>
    <row r="69" spans="1:3" ht="15.75" thickBot="1" x14ac:dyDescent="0.35">
      <c r="A69" s="581" t="s">
        <v>150</v>
      </c>
      <c r="B69" s="582"/>
      <c r="C69" s="601">
        <f ca="1">IF(C67=0,0,C68*B24)</f>
        <v>12435.999</v>
      </c>
    </row>
    <row r="70" spans="1:3" ht="13.5" thickBot="1" x14ac:dyDescent="0.25">
      <c r="C70" s="108"/>
    </row>
    <row r="71" spans="1:3" ht="13.5" thickBot="1" x14ac:dyDescent="0.25">
      <c r="A71" s="760" t="s">
        <v>357</v>
      </c>
      <c r="B71" s="761"/>
      <c r="C71" s="127">
        <f ca="1">C56+C64+C69</f>
        <v>31202.145034253957</v>
      </c>
    </row>
    <row r="72" spans="1:3" ht="13.5" thickBot="1" x14ac:dyDescent="0.25">
      <c r="A72" s="762" t="s">
        <v>9</v>
      </c>
      <c r="B72" s="763"/>
      <c r="C72" s="128">
        <f ca="1">C91</f>
        <v>346917.53720553609</v>
      </c>
    </row>
    <row r="74" spans="1:3" x14ac:dyDescent="0.2">
      <c r="A74" s="764" t="s">
        <v>8</v>
      </c>
      <c r="B74" s="764"/>
      <c r="C74" s="764"/>
    </row>
    <row r="75" spans="1:3" x14ac:dyDescent="0.2">
      <c r="A75" s="567" t="s">
        <v>7</v>
      </c>
      <c r="B75" s="567" t="s">
        <v>6</v>
      </c>
      <c r="C75" s="567" t="s">
        <v>5</v>
      </c>
    </row>
    <row r="76" spans="1:3" x14ac:dyDescent="0.2">
      <c r="A76" s="129">
        <v>1</v>
      </c>
      <c r="B76" s="130">
        <f ca="1">$C$71</f>
        <v>31202.145034253957</v>
      </c>
      <c r="C76" s="131">
        <f t="shared" ref="C76:C90" ca="1" si="1">B76/(1+$B$93)^A76</f>
        <v>30002.062532936496</v>
      </c>
    </row>
    <row r="77" spans="1:3" x14ac:dyDescent="0.2">
      <c r="A77" s="129">
        <v>2</v>
      </c>
      <c r="B77" s="130">
        <f t="shared" ref="B77:B90" ca="1" si="2">$C$71</f>
        <v>31202.145034253957</v>
      </c>
      <c r="C77" s="131">
        <f t="shared" ca="1" si="1"/>
        <v>28848.137050900474</v>
      </c>
    </row>
    <row r="78" spans="1:3" x14ac:dyDescent="0.2">
      <c r="A78" s="129">
        <v>3</v>
      </c>
      <c r="B78" s="130">
        <f t="shared" ca="1" si="2"/>
        <v>31202.145034253957</v>
      </c>
      <c r="C78" s="131">
        <f t="shared" ca="1" si="1"/>
        <v>27738.593318173534</v>
      </c>
    </row>
    <row r="79" spans="1:3" x14ac:dyDescent="0.2">
      <c r="A79" s="129">
        <v>4</v>
      </c>
      <c r="B79" s="130">
        <f t="shared" ca="1" si="2"/>
        <v>31202.145034253957</v>
      </c>
      <c r="C79" s="131">
        <f t="shared" ca="1" si="1"/>
        <v>26671.724344397626</v>
      </c>
    </row>
    <row r="80" spans="1:3" x14ac:dyDescent="0.2">
      <c r="A80" s="129">
        <v>5</v>
      </c>
      <c r="B80" s="130">
        <f t="shared" ca="1" si="2"/>
        <v>31202.145034253957</v>
      </c>
      <c r="C80" s="131">
        <f t="shared" ca="1" si="1"/>
        <v>25645.888792690024</v>
      </c>
    </row>
    <row r="81" spans="1:3" x14ac:dyDescent="0.2">
      <c r="A81" s="129">
        <v>6</v>
      </c>
      <c r="B81" s="130">
        <f t="shared" ca="1" si="2"/>
        <v>31202.145034253957</v>
      </c>
      <c r="C81" s="131">
        <f t="shared" ca="1" si="1"/>
        <v>24659.508454509636</v>
      </c>
    </row>
    <row r="82" spans="1:3" x14ac:dyDescent="0.2">
      <c r="A82" s="129">
        <v>7</v>
      </c>
      <c r="B82" s="130">
        <f t="shared" ca="1" si="2"/>
        <v>31202.145034253957</v>
      </c>
      <c r="C82" s="131">
        <f t="shared" ca="1" si="1"/>
        <v>23711.065821643886</v>
      </c>
    </row>
    <row r="83" spans="1:3" x14ac:dyDescent="0.2">
      <c r="A83" s="129">
        <v>8</v>
      </c>
      <c r="B83" s="130">
        <f t="shared" ca="1" si="2"/>
        <v>31202.145034253957</v>
      </c>
      <c r="C83" s="131">
        <f t="shared" ca="1" si="1"/>
        <v>22799.101751580652</v>
      </c>
    </row>
    <row r="84" spans="1:3" x14ac:dyDescent="0.2">
      <c r="A84" s="129">
        <v>9</v>
      </c>
      <c r="B84" s="130">
        <f t="shared" ca="1" si="2"/>
        <v>31202.145034253957</v>
      </c>
      <c r="C84" s="131">
        <f t="shared" ca="1" si="1"/>
        <v>21922.213222673705</v>
      </c>
    </row>
    <row r="85" spans="1:3" x14ac:dyDescent="0.2">
      <c r="A85" s="129">
        <v>10</v>
      </c>
      <c r="B85" s="130">
        <f t="shared" ca="1" si="2"/>
        <v>31202.145034253957</v>
      </c>
      <c r="C85" s="131">
        <f t="shared" ca="1" si="1"/>
        <v>21079.051175647794</v>
      </c>
    </row>
    <row r="86" spans="1:3" x14ac:dyDescent="0.2">
      <c r="A86" s="129">
        <v>11</v>
      </c>
      <c r="B86" s="130">
        <f t="shared" ca="1" si="2"/>
        <v>31202.145034253957</v>
      </c>
      <c r="C86" s="131">
        <f t="shared" ca="1" si="1"/>
        <v>20268.318438122878</v>
      </c>
    </row>
    <row r="87" spans="1:3" x14ac:dyDescent="0.2">
      <c r="A87" s="129">
        <v>12</v>
      </c>
      <c r="B87" s="130">
        <f t="shared" ca="1" si="2"/>
        <v>31202.145034253957</v>
      </c>
      <c r="C87" s="131">
        <f t="shared" ca="1" si="1"/>
        <v>19488.767728964303</v>
      </c>
    </row>
    <row r="88" spans="1:3" x14ac:dyDescent="0.2">
      <c r="A88" s="129">
        <v>13</v>
      </c>
      <c r="B88" s="130">
        <f t="shared" ca="1" si="2"/>
        <v>31202.145034253957</v>
      </c>
      <c r="C88" s="131">
        <f t="shared" ca="1" si="1"/>
        <v>18739.19973938875</v>
      </c>
    </row>
    <row r="89" spans="1:3" x14ac:dyDescent="0.2">
      <c r="A89" s="129">
        <v>14</v>
      </c>
      <c r="B89" s="130">
        <f t="shared" ca="1" si="2"/>
        <v>31202.145034253957</v>
      </c>
      <c r="C89" s="131">
        <f t="shared" ca="1" si="1"/>
        <v>18018.461287873801</v>
      </c>
    </row>
    <row r="90" spans="1:3" x14ac:dyDescent="0.2">
      <c r="A90" s="129">
        <v>15</v>
      </c>
      <c r="B90" s="130">
        <f t="shared" ca="1" si="2"/>
        <v>31202.145034253957</v>
      </c>
      <c r="C90" s="131">
        <f t="shared" ca="1" si="1"/>
        <v>17325.4435460325</v>
      </c>
    </row>
    <row r="91" spans="1:3" x14ac:dyDescent="0.2">
      <c r="A91" s="759" t="s">
        <v>4</v>
      </c>
      <c r="B91" s="759"/>
      <c r="C91" s="132">
        <f ca="1">SUM(C76:C90)</f>
        <v>346917.53720553609</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v>
      </c>
      <c r="C98" s="394">
        <f t="shared" ref="C98:C103" si="3">B98*$C$51</f>
        <v>0</v>
      </c>
      <c r="D98" s="138">
        <v>0</v>
      </c>
      <c r="E98" s="139"/>
    </row>
    <row r="99" spans="1:5" x14ac:dyDescent="0.2">
      <c r="A99" s="137" t="s">
        <v>257</v>
      </c>
      <c r="B99" s="422">
        <v>0</v>
      </c>
      <c r="C99" s="394">
        <f t="shared" si="3"/>
        <v>0</v>
      </c>
      <c r="D99" s="138">
        <v>0</v>
      </c>
    </row>
    <row r="100" spans="1:5" x14ac:dyDescent="0.2">
      <c r="A100" s="137" t="s">
        <v>96</v>
      </c>
      <c r="B100" s="422">
        <v>0</v>
      </c>
      <c r="C100" s="394">
        <f t="shared" si="3"/>
        <v>0</v>
      </c>
      <c r="D100" s="138">
        <v>0</v>
      </c>
    </row>
    <row r="101" spans="1:5" s="112" customFormat="1" x14ac:dyDescent="0.2">
      <c r="A101" s="137" t="s">
        <v>340</v>
      </c>
      <c r="B101" s="422">
        <v>0</v>
      </c>
      <c r="C101" s="394">
        <f t="shared" si="3"/>
        <v>0</v>
      </c>
      <c r="D101" s="138">
        <v>0</v>
      </c>
    </row>
    <row r="102" spans="1:5" x14ac:dyDescent="0.2">
      <c r="A102" s="137" t="s">
        <v>154</v>
      </c>
      <c r="B102" s="422">
        <v>1</v>
      </c>
      <c r="C102" s="394">
        <f t="shared" si="3"/>
        <v>314027.14839681395</v>
      </c>
      <c r="D102" s="138">
        <v>348919.05377423769</v>
      </c>
    </row>
    <row r="103" spans="1:5" x14ac:dyDescent="0.2">
      <c r="A103" s="137" t="s">
        <v>341</v>
      </c>
      <c r="B103" s="422">
        <v>0</v>
      </c>
      <c r="C103" s="394">
        <f t="shared" si="3"/>
        <v>0</v>
      </c>
      <c r="D103" s="138">
        <v>0</v>
      </c>
    </row>
    <row r="104" spans="1:5" x14ac:dyDescent="0.2">
      <c r="A104" s="135" t="s">
        <v>5</v>
      </c>
      <c r="B104" s="423">
        <f>SUM(B98:B103)</f>
        <v>1</v>
      </c>
      <c r="C104" s="424">
        <f>SUM(C98:C103)</f>
        <v>314027.14839681395</v>
      </c>
      <c r="D104" s="424">
        <f>SUM(D98:D103)</f>
        <v>348919.05377423769</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1197.6300000000001</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8"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Q108"/>
  <sheetViews>
    <sheetView topLeftCell="A25" zoomScale="110" zoomScaleNormal="110" zoomScaleSheetLayoutView="110" zoomScalePageLayoutView="110" workbookViewId="0">
      <selection activeCell="C47" sqref="C47"/>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33" customHeight="1" x14ac:dyDescent="0.2">
      <c r="A4" s="94" t="s">
        <v>30</v>
      </c>
      <c r="B4" s="741" t="str">
        <f ca="1">VLOOKUP($B$6,'Referenčne količine'!$B$3:$AQ$17,2,)</f>
        <v>ZDRAVSTVENI DOM</v>
      </c>
      <c r="C4" s="742"/>
    </row>
    <row r="5" spans="1:7" x14ac:dyDescent="0.2">
      <c r="A5" s="94" t="s">
        <v>29</v>
      </c>
      <c r="B5" s="735" t="str">
        <f ca="1">VLOOKUP($B$6,'Referenčne količine'!$B$3:$AQ$17,3,)</f>
        <v>Černelčeva cesta 8, 8250 Brežice</v>
      </c>
      <c r="C5" s="736"/>
    </row>
    <row r="6" spans="1:7" x14ac:dyDescent="0.2">
      <c r="A6" s="94" t="s">
        <v>28</v>
      </c>
      <c r="B6" s="735" t="str">
        <f ca="1">RIGHT(CELL("filename",A1),4)</f>
        <v>OB13</v>
      </c>
      <c r="C6" s="736"/>
    </row>
    <row r="7" spans="1:7" x14ac:dyDescent="0.2">
      <c r="A7" s="94" t="s">
        <v>27</v>
      </c>
      <c r="B7" s="735">
        <f ca="1">VLOOKUP($B$6,'Referenčne količine'!$B$3:$AQ$17,6,)</f>
        <v>2470</v>
      </c>
      <c r="C7" s="736"/>
      <c r="F7" s="95"/>
      <c r="G7" s="95"/>
    </row>
    <row r="8" spans="1:7" ht="13.5" thickBot="1" x14ac:dyDescent="0.25">
      <c r="A8" s="96" t="s">
        <v>26</v>
      </c>
      <c r="B8" s="746" t="str">
        <f ca="1">VLOOKUP($B$6,'Referenčne količine'!$B$3:$AQ$17,15,)</f>
        <v>ZP+EE (TČ)</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290563.3</v>
      </c>
      <c r="C12" s="425">
        <f ca="1">VLOOKUP($B$6,'Referenčne količine'!$B$3:$AQ$17,22,)</f>
        <v>290563.3</v>
      </c>
      <c r="E12" s="100"/>
      <c r="F12" s="100"/>
    </row>
    <row r="13" spans="1:7" x14ac:dyDescent="0.2">
      <c r="A13" s="85" t="s">
        <v>136</v>
      </c>
      <c r="B13" s="101">
        <f ca="1">VLOOKUP($B$6,'Referenčne količine'!$B$3:$AQ$17,24,)</f>
        <v>398658</v>
      </c>
      <c r="C13" s="101">
        <f ca="1">VLOOKUP($B$6,'Referenčne količine'!$B$3:$AQ$17,25,)</f>
        <v>398658</v>
      </c>
      <c r="E13" s="100"/>
      <c r="F13" s="100"/>
    </row>
    <row r="14" spans="1:7" x14ac:dyDescent="0.2">
      <c r="A14" s="86" t="s">
        <v>122</v>
      </c>
      <c r="B14" s="102"/>
      <c r="C14" s="102">
        <f ca="1">VLOOKUP($B$6,'Referenčne količine'!$B$3:$AQ$17,29,)</f>
        <v>350819.04</v>
      </c>
      <c r="E14" s="95"/>
      <c r="F14" s="95"/>
    </row>
    <row r="15" spans="1:7" x14ac:dyDescent="0.2">
      <c r="A15" s="566" t="s">
        <v>333</v>
      </c>
      <c r="B15" s="102"/>
      <c r="C15" s="102">
        <f ca="1">VLOOKUP($B$6,'Referenčne količine'!$B$3:$AQ$17,30,)</f>
        <v>47838.96</v>
      </c>
      <c r="E15" s="95"/>
      <c r="F15" s="95"/>
    </row>
    <row r="16" spans="1:7" x14ac:dyDescent="0.2">
      <c r="A16" s="86" t="s">
        <v>123</v>
      </c>
      <c r="B16" s="102"/>
      <c r="C16" s="102">
        <f ca="1">VLOOKUP($B$6,'Referenčne količine'!$B$3:$AQ$17,31,)</f>
        <v>0</v>
      </c>
      <c r="E16" s="100"/>
      <c r="F16" s="100"/>
    </row>
    <row r="17" spans="1:6" x14ac:dyDescent="0.2">
      <c r="A17" s="86" t="s">
        <v>124</v>
      </c>
      <c r="B17" s="590">
        <f ca="1">VLOOKUP($B$6,'Referenčne količine'!$B$3:$AQ$17,19,)</f>
        <v>19493.296213467882</v>
      </c>
      <c r="C17" s="590">
        <f ca="1">VLOOKUP($B$6,'Referenčne količine'!$B$3:$AQ$17,28,)</f>
        <v>19493.296213467882</v>
      </c>
      <c r="E17" s="100"/>
      <c r="F17" s="100"/>
    </row>
    <row r="18" spans="1:6" ht="13.5" thickBot="1" x14ac:dyDescent="0.25">
      <c r="A18" s="104" t="s">
        <v>137</v>
      </c>
      <c r="B18" s="105">
        <f ca="1">VLOOKUP($B$6,'Referenčne količine'!$B$3:$AQ$17,26,)/1000</f>
        <v>4.8897290944789472E-2</v>
      </c>
      <c r="C18" s="105">
        <f ca="1">VLOOKUP($B$6,'Referenčne količine'!$B$3:$AQ$17,26,)/1000</f>
        <v>4.8897290944789472E-2</v>
      </c>
      <c r="E18" s="100"/>
      <c r="F18" s="100"/>
    </row>
    <row r="19" spans="1:6" x14ac:dyDescent="0.2">
      <c r="A19" s="84" t="s">
        <v>127</v>
      </c>
      <c r="B19" s="99">
        <f ca="1">VLOOKUP($B$6,'Referenčne količine'!$B$3:$AQ$17,32,)</f>
        <v>108472.75333333334</v>
      </c>
      <c r="C19" s="99">
        <f ca="1">VLOOKUP($B$6,'Referenčne količine'!$B$3:$AQ$17,36,)</f>
        <v>108472.75333333334</v>
      </c>
      <c r="E19" s="100"/>
      <c r="F19" s="100"/>
    </row>
    <row r="20" spans="1:6" x14ac:dyDescent="0.2">
      <c r="A20" s="88" t="s">
        <v>128</v>
      </c>
      <c r="B20" s="102"/>
      <c r="C20" s="101">
        <f ca="1">VLOOKUP($B$6,'Referenčne količine'!$B$3:$AQ$17,38,)</f>
        <v>35342.639999999999</v>
      </c>
      <c r="E20" s="100"/>
      <c r="F20" s="100"/>
    </row>
    <row r="21" spans="1:6" x14ac:dyDescent="0.2">
      <c r="A21" s="88" t="s">
        <v>129</v>
      </c>
      <c r="B21" s="101"/>
      <c r="C21" s="101">
        <f ca="1">VLOOKUP($B$6,'Referenčne količine'!$B$3:$AQ$17,39,)</f>
        <v>73130.113333333342</v>
      </c>
      <c r="E21" s="100"/>
      <c r="F21" s="100"/>
    </row>
    <row r="22" spans="1:6" x14ac:dyDescent="0.2">
      <c r="A22" s="89" t="s">
        <v>130</v>
      </c>
      <c r="B22" s="106">
        <f ca="1">VLOOKUP($B$6,'Referenčne količine'!$B$3:$AQ$17,33,)</f>
        <v>11058.675186532115</v>
      </c>
      <c r="C22" s="103">
        <f ca="1">VLOOKUP($B$6,'Referenčne količine'!$B$3:$AQ$17,37,)</f>
        <v>11058.675186532115</v>
      </c>
      <c r="D22" s="346"/>
      <c r="E22" s="100"/>
      <c r="F22" s="100"/>
    </row>
    <row r="23" spans="1:6" ht="13.5" thickBot="1" x14ac:dyDescent="0.25">
      <c r="A23" s="90" t="s">
        <v>131</v>
      </c>
      <c r="B23" s="524">
        <f ca="1">VLOOKUP($B$6,'Referenčne količine'!$B$3:$AQ$17,34,)</f>
        <v>0.10194887514792914</v>
      </c>
      <c r="C23" s="524">
        <f ca="1">VLOOKUP($B$6,'Referenčne količine'!$B$3:$AQ$17,34,)</f>
        <v>0.10194887514792914</v>
      </c>
      <c r="E23" s="100"/>
      <c r="F23" s="100"/>
    </row>
    <row r="24" spans="1:6" ht="14.45" customHeight="1" thickBot="1" x14ac:dyDescent="0.25">
      <c r="A24" s="594" t="s">
        <v>132</v>
      </c>
      <c r="B24" s="595">
        <f ca="1">VLOOKUP($B$6,'Referenčne količine'!$B$3:$AQ$17,41,)</f>
        <v>4940</v>
      </c>
      <c r="C24" s="596"/>
      <c r="E24" s="100"/>
      <c r="F24" s="100"/>
    </row>
    <row r="25" spans="1:6" ht="13.5" thickBot="1" x14ac:dyDescent="0.25">
      <c r="F25" s="571">
        <f ca="1">VALUE(RIGHT(CELL("filename",A1),2))</f>
        <v>13</v>
      </c>
    </row>
    <row r="26" spans="1:6" x14ac:dyDescent="0.2">
      <c r="A26" s="738" t="s">
        <v>138</v>
      </c>
      <c r="B26" s="739"/>
      <c r="C26" s="740"/>
      <c r="F26" s="572">
        <v>1</v>
      </c>
    </row>
    <row r="27" spans="1:6" x14ac:dyDescent="0.2">
      <c r="A27" s="568" t="s">
        <v>475</v>
      </c>
      <c r="B27" s="569"/>
      <c r="C27" s="570"/>
      <c r="D27" s="107"/>
      <c r="F27" s="572">
        <f t="shared" ref="F27:F44" si="0">F26+1</f>
        <v>2</v>
      </c>
    </row>
    <row r="28" spans="1:6" ht="13.15" customHeight="1" x14ac:dyDescent="0.2">
      <c r="A28" s="743" t="s">
        <v>482</v>
      </c>
      <c r="B28" s="744"/>
      <c r="C28" s="745"/>
      <c r="E28" s="107"/>
      <c r="F28" s="572">
        <f t="shared" si="0"/>
        <v>3</v>
      </c>
    </row>
    <row r="29" spans="1:6" x14ac:dyDescent="0.2">
      <c r="A29" s="743" t="s">
        <v>477</v>
      </c>
      <c r="B29" s="744"/>
      <c r="C29" s="745"/>
      <c r="E29" s="107"/>
      <c r="F29" s="572">
        <f t="shared" si="0"/>
        <v>4</v>
      </c>
    </row>
    <row r="30" spans="1:6" x14ac:dyDescent="0.2">
      <c r="A30" s="743" t="s">
        <v>476</v>
      </c>
      <c r="B30" s="744"/>
      <c r="C30" s="745"/>
      <c r="E30" s="107"/>
      <c r="F30" s="572">
        <f t="shared" si="0"/>
        <v>5</v>
      </c>
    </row>
    <row r="31" spans="1:6" x14ac:dyDescent="0.2">
      <c r="A31" s="743" t="s">
        <v>476</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47542.716687325003</v>
      </c>
    </row>
    <row r="47" spans="1:17" x14ac:dyDescent="0.2">
      <c r="A47" s="751" t="s">
        <v>140</v>
      </c>
      <c r="B47" s="752"/>
      <c r="C47" s="110">
        <f>C46*0.22</f>
        <v>10459.3976712115</v>
      </c>
      <c r="D47" s="95"/>
    </row>
    <row r="48" spans="1:17" ht="13.5" thickBot="1" x14ac:dyDescent="0.25">
      <c r="A48" s="755" t="s">
        <v>141</v>
      </c>
      <c r="B48" s="756"/>
      <c r="C48" s="111">
        <f>C47+C46</f>
        <v>58002.114358536506</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388133.42879999999</v>
      </c>
      <c r="E51" s="112"/>
      <c r="F51" s="112"/>
      <c r="G51" s="112"/>
      <c r="H51" s="112"/>
      <c r="I51" s="112"/>
      <c r="J51" s="112"/>
      <c r="K51" s="112"/>
      <c r="L51" s="112"/>
      <c r="M51" s="112"/>
      <c r="N51" s="112"/>
      <c r="O51" s="112"/>
      <c r="P51" s="112"/>
      <c r="Q51" s="112"/>
    </row>
    <row r="52" spans="1:17" x14ac:dyDescent="0.2">
      <c r="A52" s="757" t="s">
        <v>218</v>
      </c>
      <c r="B52" s="758"/>
      <c r="C52" s="116">
        <v>4.2699999999999988E-2</v>
      </c>
      <c r="E52" s="112"/>
      <c r="F52" s="112"/>
      <c r="G52" s="112"/>
      <c r="H52" s="112"/>
      <c r="I52" s="112"/>
      <c r="J52" s="112"/>
      <c r="K52" s="112"/>
      <c r="L52" s="112"/>
      <c r="M52" s="112"/>
      <c r="N52" s="112"/>
      <c r="O52" s="112"/>
      <c r="P52" s="112"/>
      <c r="Q52" s="112"/>
    </row>
    <row r="53" spans="1:17" x14ac:dyDescent="0.2">
      <c r="A53" s="751" t="s">
        <v>213</v>
      </c>
      <c r="B53" s="752"/>
      <c r="C53" s="117">
        <f ca="1">IF(C51=0, 0,C13- C51)</f>
        <v>10524.571200000006</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16573.297409759994</v>
      </c>
      <c r="E55" s="112"/>
      <c r="F55" s="112"/>
      <c r="G55" s="112"/>
      <c r="H55" s="112"/>
      <c r="I55" s="112"/>
      <c r="J55" s="112"/>
      <c r="K55" s="112"/>
      <c r="L55" s="112"/>
      <c r="M55" s="112"/>
      <c r="N55" s="112"/>
      <c r="O55" s="112"/>
      <c r="P55" s="112"/>
      <c r="Q55" s="112"/>
    </row>
    <row r="56" spans="1:17" x14ac:dyDescent="0.2">
      <c r="A56" s="577" t="s">
        <v>219</v>
      </c>
      <c r="B56" s="578"/>
      <c r="C56" s="120">
        <f ca="1">(C53+C54)*C18+C51*(C18-C52)</f>
        <v>2919.9988037078865</v>
      </c>
      <c r="E56" s="112"/>
      <c r="F56" s="112"/>
      <c r="G56" s="112"/>
      <c r="H56" s="112"/>
      <c r="I56" s="112"/>
      <c r="J56" s="112"/>
      <c r="K56" s="112"/>
      <c r="L56" s="112"/>
      <c r="M56" s="112"/>
      <c r="N56" s="112"/>
      <c r="O56" s="112"/>
      <c r="P56" s="112"/>
      <c r="Q56" s="112"/>
    </row>
    <row r="57" spans="1:17" x14ac:dyDescent="0.2">
      <c r="A57" s="577" t="s">
        <v>216</v>
      </c>
      <c r="B57" s="578"/>
      <c r="C57" s="121">
        <f ca="1">(C53+C54)/C14</f>
        <v>3.000000000000002E-2</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85981.357333333348</v>
      </c>
      <c r="E59" s="347"/>
    </row>
    <row r="60" spans="1:17" x14ac:dyDescent="0.2">
      <c r="A60" s="751" t="s">
        <v>142</v>
      </c>
      <c r="B60" s="752"/>
      <c r="C60" s="116">
        <f ca="1">C23</f>
        <v>0.10194887514792914</v>
      </c>
    </row>
    <row r="61" spans="1:17" x14ac:dyDescent="0.2">
      <c r="A61" s="751" t="s">
        <v>143</v>
      </c>
      <c r="B61" s="752"/>
      <c r="C61" s="117">
        <f ca="1">IF(C59=0,0,C19-C59)</f>
        <v>22491.395999999993</v>
      </c>
      <c r="D61" s="347"/>
    </row>
    <row r="62" spans="1:17" x14ac:dyDescent="0.2">
      <c r="A62" s="751" t="s">
        <v>144</v>
      </c>
      <c r="B62" s="752"/>
      <c r="C62" s="140">
        <v>26573.603999999996</v>
      </c>
    </row>
    <row r="63" spans="1:17" x14ac:dyDescent="0.2">
      <c r="A63" s="751" t="s">
        <v>145</v>
      </c>
      <c r="B63" s="752"/>
      <c r="C63" s="119">
        <f ca="1">C59*C60</f>
        <v>8765.7026638254829</v>
      </c>
    </row>
    <row r="64" spans="1:17" x14ac:dyDescent="0.2">
      <c r="A64" s="579" t="s">
        <v>146</v>
      </c>
      <c r="B64" s="580"/>
      <c r="C64" s="120">
        <f ca="1">(C61+C62)*C60+C59*(C23-C60)</f>
        <v>5002.121559133142</v>
      </c>
    </row>
    <row r="65" spans="1:3" x14ac:dyDescent="0.2">
      <c r="A65" s="751" t="s">
        <v>147</v>
      </c>
      <c r="B65" s="752"/>
      <c r="C65" s="121">
        <f ca="1">(C61+C62)/C19</f>
        <v>0.45232557017544112</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0.99999979757085022</v>
      </c>
    </row>
    <row r="69" spans="1:3" ht="15.75" thickBot="1" x14ac:dyDescent="0.35">
      <c r="A69" s="581" t="s">
        <v>150</v>
      </c>
      <c r="B69" s="582"/>
      <c r="C69" s="601">
        <f ca="1">IF(C67=0,0,C68*B24)</f>
        <v>4939.9989999999998</v>
      </c>
    </row>
    <row r="70" spans="1:3" ht="13.5" thickBot="1" x14ac:dyDescent="0.25">
      <c r="C70" s="108"/>
    </row>
    <row r="71" spans="1:3" ht="13.5" thickBot="1" x14ac:dyDescent="0.25">
      <c r="A71" s="760" t="s">
        <v>357</v>
      </c>
      <c r="B71" s="761"/>
      <c r="C71" s="127">
        <f ca="1">C56+C64+C69</f>
        <v>12862.119362841029</v>
      </c>
    </row>
    <row r="72" spans="1:3" ht="13.5" thickBot="1" x14ac:dyDescent="0.25">
      <c r="A72" s="762" t="s">
        <v>9</v>
      </c>
      <c r="B72" s="763"/>
      <c r="C72" s="128">
        <f ca="1">C91</f>
        <v>143006.0262748579</v>
      </c>
    </row>
    <row r="74" spans="1:3" x14ac:dyDescent="0.2">
      <c r="A74" s="764" t="s">
        <v>8</v>
      </c>
      <c r="B74" s="764"/>
      <c r="C74" s="764"/>
    </row>
    <row r="75" spans="1:3" x14ac:dyDescent="0.2">
      <c r="A75" s="567" t="s">
        <v>7</v>
      </c>
      <c r="B75" s="567" t="s">
        <v>6</v>
      </c>
      <c r="C75" s="567" t="s">
        <v>5</v>
      </c>
    </row>
    <row r="76" spans="1:3" x14ac:dyDescent="0.2">
      <c r="A76" s="129">
        <v>1</v>
      </c>
      <c r="B76" s="130">
        <f ca="1">$C$71</f>
        <v>12862.119362841029</v>
      </c>
      <c r="C76" s="131">
        <f t="shared" ref="C76:C90" ca="1" si="1">B76/(1+$B$93)^A76</f>
        <v>12367.422464270219</v>
      </c>
    </row>
    <row r="77" spans="1:3" x14ac:dyDescent="0.2">
      <c r="A77" s="129">
        <v>2</v>
      </c>
      <c r="B77" s="130">
        <f t="shared" ref="B77:B90" ca="1" si="2">$C$71</f>
        <v>12862.119362841029</v>
      </c>
      <c r="C77" s="131">
        <f t="shared" ca="1" si="1"/>
        <v>11891.752369490596</v>
      </c>
    </row>
    <row r="78" spans="1:3" x14ac:dyDescent="0.2">
      <c r="A78" s="129">
        <v>3</v>
      </c>
      <c r="B78" s="130">
        <f t="shared" ca="1" si="2"/>
        <v>12862.119362841029</v>
      </c>
      <c r="C78" s="131">
        <f t="shared" ca="1" si="1"/>
        <v>11434.377278356342</v>
      </c>
    </row>
    <row r="79" spans="1:3" x14ac:dyDescent="0.2">
      <c r="A79" s="129">
        <v>4</v>
      </c>
      <c r="B79" s="130">
        <f t="shared" ca="1" si="2"/>
        <v>12862.119362841029</v>
      </c>
      <c r="C79" s="131">
        <f t="shared" ca="1" si="1"/>
        <v>10994.593536881097</v>
      </c>
    </row>
    <row r="80" spans="1:3" x14ac:dyDescent="0.2">
      <c r="A80" s="129">
        <v>5</v>
      </c>
      <c r="B80" s="130">
        <f t="shared" ca="1" si="2"/>
        <v>12862.119362841029</v>
      </c>
      <c r="C80" s="131">
        <f t="shared" ca="1" si="1"/>
        <v>10571.724554693361</v>
      </c>
    </row>
    <row r="81" spans="1:3" x14ac:dyDescent="0.2">
      <c r="A81" s="129">
        <v>6</v>
      </c>
      <c r="B81" s="130">
        <f t="shared" ca="1" si="2"/>
        <v>12862.119362841029</v>
      </c>
      <c r="C81" s="131">
        <f t="shared" ca="1" si="1"/>
        <v>10165.119764128232</v>
      </c>
    </row>
    <row r="82" spans="1:3" x14ac:dyDescent="0.2">
      <c r="A82" s="129">
        <v>7</v>
      </c>
      <c r="B82" s="130">
        <f t="shared" ca="1" si="2"/>
        <v>12862.119362841029</v>
      </c>
      <c r="C82" s="131">
        <f t="shared" ca="1" si="1"/>
        <v>9774.1536193540705</v>
      </c>
    </row>
    <row r="83" spans="1:3" x14ac:dyDescent="0.2">
      <c r="A83" s="129">
        <v>8</v>
      </c>
      <c r="B83" s="130">
        <f t="shared" ca="1" si="2"/>
        <v>12862.119362841029</v>
      </c>
      <c r="C83" s="131">
        <f t="shared" ca="1" si="1"/>
        <v>9398.2246339942958</v>
      </c>
    </row>
    <row r="84" spans="1:3" x14ac:dyDescent="0.2">
      <c r="A84" s="129">
        <v>9</v>
      </c>
      <c r="B84" s="130">
        <f t="shared" ca="1" si="2"/>
        <v>12862.119362841029</v>
      </c>
      <c r="C84" s="131">
        <f t="shared" ca="1" si="1"/>
        <v>9036.7544557637466</v>
      </c>
    </row>
    <row r="85" spans="1:3" x14ac:dyDescent="0.2">
      <c r="A85" s="129">
        <v>10</v>
      </c>
      <c r="B85" s="130">
        <f t="shared" ca="1" si="2"/>
        <v>12862.119362841029</v>
      </c>
      <c r="C85" s="131">
        <f t="shared" ca="1" si="1"/>
        <v>8689.1869766959098</v>
      </c>
    </row>
    <row r="86" spans="1:3" x14ac:dyDescent="0.2">
      <c r="A86" s="129">
        <v>11</v>
      </c>
      <c r="B86" s="130">
        <f t="shared" ca="1" si="2"/>
        <v>12862.119362841029</v>
      </c>
      <c r="C86" s="131">
        <f t="shared" ca="1" si="1"/>
        <v>8354.9874775922217</v>
      </c>
    </row>
    <row r="87" spans="1:3" x14ac:dyDescent="0.2">
      <c r="A87" s="129">
        <v>12</v>
      </c>
      <c r="B87" s="130">
        <f t="shared" ca="1" si="2"/>
        <v>12862.119362841029</v>
      </c>
      <c r="C87" s="131">
        <f t="shared" ca="1" si="1"/>
        <v>8033.641805377134</v>
      </c>
    </row>
    <row r="88" spans="1:3" x14ac:dyDescent="0.2">
      <c r="A88" s="129">
        <v>13</v>
      </c>
      <c r="B88" s="130">
        <f t="shared" ca="1" si="2"/>
        <v>12862.119362841029</v>
      </c>
      <c r="C88" s="131">
        <f t="shared" ca="1" si="1"/>
        <v>7724.6555820933982</v>
      </c>
    </row>
    <row r="89" spans="1:3" x14ac:dyDescent="0.2">
      <c r="A89" s="129">
        <v>14</v>
      </c>
      <c r="B89" s="130">
        <f t="shared" ca="1" si="2"/>
        <v>12862.119362841029</v>
      </c>
      <c r="C89" s="131">
        <f t="shared" ca="1" si="1"/>
        <v>7427.5534443205752</v>
      </c>
    </row>
    <row r="90" spans="1:3" x14ac:dyDescent="0.2">
      <c r="A90" s="129">
        <v>15</v>
      </c>
      <c r="B90" s="130">
        <f t="shared" ca="1" si="2"/>
        <v>12862.119362841029</v>
      </c>
      <c r="C90" s="131">
        <f t="shared" ca="1" si="1"/>
        <v>7141.8783118467072</v>
      </c>
    </row>
    <row r="91" spans="1:3" x14ac:dyDescent="0.2">
      <c r="A91" s="759" t="s">
        <v>4</v>
      </c>
      <c r="B91" s="759"/>
      <c r="C91" s="132">
        <f ca="1">SUM(C76:C90)</f>
        <v>143006.0262748579</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0.7</v>
      </c>
      <c r="C98" s="394">
        <f t="shared" ref="C98:C103" si="3">B98*$C$51</f>
        <v>271693.40015999996</v>
      </c>
      <c r="D98" s="138">
        <v>108677.36006399998</v>
      </c>
      <c r="E98" s="139"/>
    </row>
    <row r="99" spans="1:5" x14ac:dyDescent="0.2">
      <c r="A99" s="137" t="s">
        <v>257</v>
      </c>
      <c r="B99" s="422">
        <v>0</v>
      </c>
      <c r="C99" s="394">
        <f t="shared" si="3"/>
        <v>0</v>
      </c>
      <c r="D99" s="138">
        <v>0</v>
      </c>
    </row>
    <row r="100" spans="1:5" x14ac:dyDescent="0.2">
      <c r="A100" s="137" t="s">
        <v>96</v>
      </c>
      <c r="B100" s="422">
        <v>0</v>
      </c>
      <c r="C100" s="394">
        <f t="shared" si="3"/>
        <v>0</v>
      </c>
      <c r="D100" s="138">
        <v>0</v>
      </c>
    </row>
    <row r="101" spans="1:5" s="112" customFormat="1" x14ac:dyDescent="0.2">
      <c r="A101" s="137" t="s">
        <v>340</v>
      </c>
      <c r="B101" s="422">
        <v>0</v>
      </c>
      <c r="C101" s="394">
        <f t="shared" si="3"/>
        <v>0</v>
      </c>
      <c r="D101" s="138">
        <v>0</v>
      </c>
    </row>
    <row r="102" spans="1:5" x14ac:dyDescent="0.2">
      <c r="A102" s="137" t="s">
        <v>154</v>
      </c>
      <c r="B102" s="422">
        <v>0.3</v>
      </c>
      <c r="C102" s="394">
        <f t="shared" si="3"/>
        <v>116440.02863999999</v>
      </c>
      <c r="D102" s="138">
        <v>129377.80959999998</v>
      </c>
    </row>
    <row r="103" spans="1:5" x14ac:dyDescent="0.2">
      <c r="A103" s="137" t="s">
        <v>341</v>
      </c>
      <c r="B103" s="422">
        <v>0</v>
      </c>
      <c r="C103" s="394">
        <f t="shared" si="3"/>
        <v>0</v>
      </c>
      <c r="D103" s="138">
        <v>0</v>
      </c>
    </row>
    <row r="104" spans="1:5" x14ac:dyDescent="0.2">
      <c r="A104" s="135" t="s">
        <v>5</v>
      </c>
      <c r="B104" s="423">
        <f>SUM(B98:B103)</f>
        <v>1</v>
      </c>
      <c r="C104" s="424">
        <f>SUM(C98:C103)</f>
        <v>388133.42879999994</v>
      </c>
      <c r="D104" s="424">
        <f>SUM(D98:D103)</f>
        <v>238055.16966399996</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1146</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7"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Q108"/>
  <sheetViews>
    <sheetView topLeftCell="A28" zoomScale="110" zoomScaleNormal="110" zoomScaleSheetLayoutView="110" zoomScalePageLayoutView="110" workbookViewId="0">
      <selection activeCell="C47" sqref="C47"/>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33" customHeight="1" x14ac:dyDescent="0.2">
      <c r="A4" s="94" t="s">
        <v>30</v>
      </c>
      <c r="B4" s="741" t="str">
        <f ca="1">VLOOKUP($B$6,'Referenčne količine'!$B$3:$AQ$17,2,)</f>
        <v>MLADINSKI CENTER</v>
      </c>
      <c r="C4" s="742"/>
    </row>
    <row r="5" spans="1:7" x14ac:dyDescent="0.2">
      <c r="A5" s="94" t="s">
        <v>29</v>
      </c>
      <c r="B5" s="735" t="str">
        <f ca="1">VLOOKUP($B$6,'Referenčne količine'!$B$3:$AQ$17,3,)</f>
        <v>Gubčeva ulica 10a, 8250 Brežice</v>
      </c>
      <c r="C5" s="736"/>
    </row>
    <row r="6" spans="1:7" x14ac:dyDescent="0.2">
      <c r="A6" s="94" t="s">
        <v>28</v>
      </c>
      <c r="B6" s="735" t="str">
        <f ca="1">RIGHT(CELL("filename",A1),4)</f>
        <v>OB14</v>
      </c>
      <c r="C6" s="736"/>
    </row>
    <row r="7" spans="1:7" x14ac:dyDescent="0.2">
      <c r="A7" s="94" t="s">
        <v>27</v>
      </c>
      <c r="B7" s="735">
        <f ca="1">VLOOKUP($B$6,'Referenčne količine'!$B$3:$AQ$17,6,)</f>
        <v>2187</v>
      </c>
      <c r="C7" s="736"/>
      <c r="F7" s="95"/>
      <c r="G7" s="95"/>
    </row>
    <row r="8" spans="1:7" ht="13.5" thickBot="1" x14ac:dyDescent="0.25">
      <c r="A8" s="96" t="s">
        <v>26</v>
      </c>
      <c r="B8" s="746" t="str">
        <f ca="1">VLOOKUP($B$6,'Referenčne količine'!$B$3:$AQ$17,15,)</f>
        <v>ZP</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219411.99999999997</v>
      </c>
      <c r="C12" s="425">
        <f ca="1">VLOOKUP($B$6,'Referenčne količine'!$B$3:$AQ$17,22,)</f>
        <v>247189.77777777775</v>
      </c>
      <c r="E12" s="100"/>
      <c r="F12" s="100"/>
    </row>
    <row r="13" spans="1:7" x14ac:dyDescent="0.2">
      <c r="A13" s="85" t="s">
        <v>136</v>
      </c>
      <c r="B13" s="101">
        <f ca="1">VLOOKUP($B$6,'Referenčne količine'!$B$3:$AQ$17,24,)</f>
        <v>197470.8</v>
      </c>
      <c r="C13" s="101">
        <f ca="1">VLOOKUP($B$6,'Referenčne količine'!$B$3:$AQ$17,25,)</f>
        <v>222470.8</v>
      </c>
      <c r="E13" s="100"/>
      <c r="F13" s="100"/>
    </row>
    <row r="14" spans="1:7" x14ac:dyDescent="0.2">
      <c r="A14" s="86" t="s">
        <v>122</v>
      </c>
      <c r="B14" s="102"/>
      <c r="C14" s="102">
        <f ca="1">VLOOKUP($B$6,'Referenčne količine'!$B$3:$AQ$17,29,)</f>
        <v>144483.06454360002</v>
      </c>
      <c r="E14" s="95"/>
      <c r="F14" s="95"/>
    </row>
    <row r="15" spans="1:7" x14ac:dyDescent="0.2">
      <c r="A15" s="566" t="s">
        <v>333</v>
      </c>
      <c r="B15" s="102"/>
      <c r="C15" s="102">
        <f ca="1">VLOOKUP($B$6,'Referenčne količine'!$B$3:$AQ$17,30,)</f>
        <v>50740.714472400003</v>
      </c>
      <c r="E15" s="95"/>
      <c r="F15" s="95"/>
    </row>
    <row r="16" spans="1:7" x14ac:dyDescent="0.2">
      <c r="A16" s="86" t="s">
        <v>123</v>
      </c>
      <c r="B16" s="102"/>
      <c r="C16" s="102">
        <f ca="1">VLOOKUP($B$6,'Referenčne količine'!$B$3:$AQ$17,31,)</f>
        <v>27247.020984000002</v>
      </c>
      <c r="E16" s="100"/>
      <c r="F16" s="100"/>
    </row>
    <row r="17" spans="1:6" x14ac:dyDescent="0.2">
      <c r="A17" s="86" t="s">
        <v>124</v>
      </c>
      <c r="B17" s="590">
        <f ca="1">VLOOKUP($B$6,'Referenčne količine'!$B$3:$AQ$17,19,)</f>
        <v>11519.129999999997</v>
      </c>
      <c r="C17" s="590">
        <f ca="1">VLOOKUP($B$6,'Referenčne količine'!$B$3:$AQ$17,28,)</f>
        <v>12977.46333333333</v>
      </c>
      <c r="E17" s="100"/>
      <c r="F17" s="100"/>
    </row>
    <row r="18" spans="1:6" ht="13.5" thickBot="1" x14ac:dyDescent="0.25">
      <c r="A18" s="104" t="s">
        <v>137</v>
      </c>
      <c r="B18" s="105">
        <f ca="1">VLOOKUP($B$6,'Referenčne količine'!$B$3:$AQ$17,26,)/1000</f>
        <v>5.833333333333332E-2</v>
      </c>
      <c r="C18" s="105">
        <f ca="1">VLOOKUP($B$6,'Referenčne količine'!$B$3:$AQ$17,26,)/1000</f>
        <v>5.833333333333332E-2</v>
      </c>
      <c r="E18" s="100"/>
      <c r="F18" s="100"/>
    </row>
    <row r="19" spans="1:6" x14ac:dyDescent="0.2">
      <c r="A19" s="84" t="s">
        <v>127</v>
      </c>
      <c r="B19" s="99">
        <f ca="1">VLOOKUP($B$6,'Referenčne količine'!$B$3:$AQ$17,32,)</f>
        <v>130715.66666666667</v>
      </c>
      <c r="C19" s="99">
        <f ca="1">VLOOKUP($B$6,'Referenčne količine'!$B$3:$AQ$17,36,)</f>
        <v>130715.66666666667</v>
      </c>
      <c r="E19" s="100"/>
      <c r="F19" s="100"/>
    </row>
    <row r="20" spans="1:6" x14ac:dyDescent="0.2">
      <c r="A20" s="88" t="s">
        <v>128</v>
      </c>
      <c r="B20" s="102"/>
      <c r="C20" s="101">
        <f ca="1">VLOOKUP($B$6,'Referenčne količine'!$B$3:$AQ$17,38,)</f>
        <v>67219.812149999998</v>
      </c>
      <c r="E20" s="100"/>
      <c r="F20" s="100"/>
    </row>
    <row r="21" spans="1:6" x14ac:dyDescent="0.2">
      <c r="A21" s="88" t="s">
        <v>129</v>
      </c>
      <c r="B21" s="101"/>
      <c r="C21" s="101">
        <f ca="1">VLOOKUP($B$6,'Referenčne količine'!$B$3:$AQ$17,39,)</f>
        <v>63495.854516666674</v>
      </c>
      <c r="E21" s="100"/>
      <c r="F21" s="100"/>
    </row>
    <row r="22" spans="1:6" x14ac:dyDescent="0.2">
      <c r="A22" s="89" t="s">
        <v>130</v>
      </c>
      <c r="B22" s="106">
        <f ca="1">VLOOKUP($B$6,'Referenčne količine'!$B$3:$AQ$17,33,)</f>
        <v>14091.275875938951</v>
      </c>
      <c r="C22" s="103">
        <f ca="1">VLOOKUP($B$6,'Referenčne količine'!$B$3:$AQ$17,37,)</f>
        <v>14091.275875938951</v>
      </c>
      <c r="D22" s="346"/>
      <c r="E22" s="100"/>
      <c r="F22" s="100"/>
    </row>
    <row r="23" spans="1:6" ht="13.5" thickBot="1" x14ac:dyDescent="0.25">
      <c r="A23" s="90" t="s">
        <v>131</v>
      </c>
      <c r="B23" s="524">
        <f ca="1">VLOOKUP($B$6,'Referenčne količine'!$B$3:$AQ$17,34,)</f>
        <v>0.10780097164536985</v>
      </c>
      <c r="C23" s="524">
        <f ca="1">VLOOKUP($B$6,'Referenčne količine'!$B$3:$AQ$17,34,)</f>
        <v>0.10780097164536985</v>
      </c>
      <c r="E23" s="100"/>
      <c r="F23" s="100"/>
    </row>
    <row r="24" spans="1:6" ht="14.45" customHeight="1" thickBot="1" x14ac:dyDescent="0.25">
      <c r="A24" s="594" t="s">
        <v>132</v>
      </c>
      <c r="B24" s="595">
        <f ca="1">VLOOKUP($B$6,'Referenčne količine'!$B$3:$AQ$17,41,)</f>
        <v>4374</v>
      </c>
      <c r="C24" s="596"/>
      <c r="E24" s="100"/>
      <c r="F24" s="100"/>
    </row>
    <row r="25" spans="1:6" ht="13.5" thickBot="1" x14ac:dyDescent="0.25">
      <c r="F25" s="571">
        <f ca="1">VALUE(RIGHT(CELL("filename",A1),2))</f>
        <v>14</v>
      </c>
    </row>
    <row r="26" spans="1:6" x14ac:dyDescent="0.2">
      <c r="A26" s="738" t="s">
        <v>138</v>
      </c>
      <c r="B26" s="739"/>
      <c r="C26" s="740"/>
      <c r="F26" s="572">
        <v>1</v>
      </c>
    </row>
    <row r="27" spans="1:6" x14ac:dyDescent="0.2">
      <c r="A27" s="568" t="s">
        <v>475</v>
      </c>
      <c r="B27" s="569"/>
      <c r="C27" s="570"/>
      <c r="D27" s="107"/>
      <c r="F27" s="572">
        <f t="shared" ref="F27:F44" si="0">F26+1</f>
        <v>2</v>
      </c>
    </row>
    <row r="28" spans="1:6" ht="13.15" customHeight="1" x14ac:dyDescent="0.2">
      <c r="A28" s="743" t="s">
        <v>483</v>
      </c>
      <c r="B28" s="744"/>
      <c r="C28" s="745"/>
      <c r="E28" s="107"/>
      <c r="F28" s="572">
        <f t="shared" si="0"/>
        <v>3</v>
      </c>
    </row>
    <row r="29" spans="1:6" x14ac:dyDescent="0.2">
      <c r="A29" s="743" t="s">
        <v>480</v>
      </c>
      <c r="B29" s="744"/>
      <c r="C29" s="745"/>
      <c r="E29" s="107"/>
      <c r="F29" s="572">
        <f t="shared" si="0"/>
        <v>4</v>
      </c>
    </row>
    <row r="30" spans="1:6" x14ac:dyDescent="0.2">
      <c r="A30" s="743" t="s">
        <v>484</v>
      </c>
      <c r="B30" s="744"/>
      <c r="C30" s="745"/>
      <c r="E30" s="107"/>
      <c r="F30" s="572">
        <f t="shared" si="0"/>
        <v>5</v>
      </c>
    </row>
    <row r="31" spans="1:6" x14ac:dyDescent="0.2">
      <c r="A31" s="743" t="s">
        <v>476</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67544.587541837507</v>
      </c>
    </row>
    <row r="47" spans="1:17" x14ac:dyDescent="0.2">
      <c r="A47" s="751" t="s">
        <v>140</v>
      </c>
      <c r="B47" s="752"/>
      <c r="C47" s="110">
        <f>C46*0.22</f>
        <v>14859.809259204252</v>
      </c>
      <c r="D47" s="95"/>
    </row>
    <row r="48" spans="1:17" ht="13.5" thickBot="1" x14ac:dyDescent="0.25">
      <c r="A48" s="755" t="s">
        <v>141</v>
      </c>
      <c r="B48" s="756"/>
      <c r="C48" s="111">
        <f>C47+C46</f>
        <v>82404.396801041759</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216734.82233761909</v>
      </c>
      <c r="E51" s="112"/>
      <c r="F51" s="112"/>
      <c r="G51" s="112"/>
      <c r="H51" s="112"/>
      <c r="I51" s="112"/>
      <c r="J51" s="112"/>
      <c r="K51" s="112"/>
      <c r="L51" s="112"/>
      <c r="M51" s="112"/>
      <c r="N51" s="112"/>
      <c r="O51" s="112"/>
      <c r="P51" s="112"/>
      <c r="Q51" s="112"/>
    </row>
    <row r="52" spans="1:17" x14ac:dyDescent="0.2">
      <c r="A52" s="757" t="s">
        <v>218</v>
      </c>
      <c r="B52" s="758"/>
      <c r="C52" s="116">
        <v>5.2499660709330202E-2</v>
      </c>
      <c r="E52" s="112"/>
      <c r="F52" s="112"/>
      <c r="G52" s="112"/>
      <c r="H52" s="112"/>
      <c r="I52" s="112"/>
      <c r="J52" s="112"/>
      <c r="K52" s="112"/>
      <c r="L52" s="112"/>
      <c r="M52" s="112"/>
      <c r="N52" s="112"/>
      <c r="O52" s="112"/>
      <c r="P52" s="112"/>
      <c r="Q52" s="112"/>
    </row>
    <row r="53" spans="1:17" x14ac:dyDescent="0.2">
      <c r="A53" s="751" t="s">
        <v>213</v>
      </c>
      <c r="B53" s="752"/>
      <c r="C53" s="117">
        <f ca="1">IF(C51=0, 0,C13- C51)</f>
        <v>5735.9776623809012</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11378.504636621963</v>
      </c>
      <c r="E55" s="112"/>
      <c r="F55" s="112"/>
      <c r="G55" s="112"/>
      <c r="H55" s="112"/>
      <c r="I55" s="112"/>
      <c r="J55" s="112"/>
      <c r="K55" s="112"/>
      <c r="L55" s="112"/>
      <c r="M55" s="112"/>
      <c r="N55" s="112"/>
      <c r="O55" s="112"/>
      <c r="P55" s="112"/>
      <c r="Q55" s="112"/>
    </row>
    <row r="56" spans="1:17" x14ac:dyDescent="0.2">
      <c r="A56" s="577" t="s">
        <v>219</v>
      </c>
      <c r="B56" s="578"/>
      <c r="C56" s="120">
        <f ca="1">(C53+C54)*C18+C51*(C18-C52)</f>
        <v>1598.9586967113671</v>
      </c>
      <c r="E56" s="112"/>
      <c r="F56" s="112"/>
      <c r="G56" s="112"/>
      <c r="H56" s="112"/>
      <c r="I56" s="112"/>
      <c r="J56" s="112"/>
      <c r="K56" s="112"/>
      <c r="L56" s="112"/>
      <c r="M56" s="112"/>
      <c r="N56" s="112"/>
      <c r="O56" s="112"/>
      <c r="P56" s="112"/>
      <c r="Q56" s="112"/>
    </row>
    <row r="57" spans="1:17" x14ac:dyDescent="0.2">
      <c r="A57" s="577" t="s">
        <v>216</v>
      </c>
      <c r="B57" s="578"/>
      <c r="C57" s="121">
        <f ca="1">(C53+C54)/C14</f>
        <v>3.9699999999999867E-2</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81443.544360716682</v>
      </c>
      <c r="E59" s="347"/>
    </row>
    <row r="60" spans="1:17" x14ac:dyDescent="0.2">
      <c r="A60" s="751" t="s">
        <v>142</v>
      </c>
      <c r="B60" s="752"/>
      <c r="C60" s="116">
        <f ca="1">C23</f>
        <v>0.10780097164536985</v>
      </c>
    </row>
    <row r="61" spans="1:17" x14ac:dyDescent="0.2">
      <c r="A61" s="751" t="s">
        <v>143</v>
      </c>
      <c r="B61" s="752"/>
      <c r="C61" s="117">
        <f ca="1">IF(C59=0,0,C19-C59)</f>
        <v>49272.12230594999</v>
      </c>
      <c r="D61" s="347"/>
    </row>
    <row r="62" spans="1:17" x14ac:dyDescent="0.2">
      <c r="A62" s="751" t="s">
        <v>144</v>
      </c>
      <c r="B62" s="752"/>
      <c r="C62" s="140">
        <v>0</v>
      </c>
    </row>
    <row r="63" spans="1:17" x14ac:dyDescent="0.2">
      <c r="A63" s="751" t="s">
        <v>145</v>
      </c>
      <c r="B63" s="752"/>
      <c r="C63" s="119">
        <f ca="1">C59*C60</f>
        <v>8779.6932163280399</v>
      </c>
    </row>
    <row r="64" spans="1:17" x14ac:dyDescent="0.2">
      <c r="A64" s="579" t="s">
        <v>146</v>
      </c>
      <c r="B64" s="580"/>
      <c r="C64" s="120">
        <f ca="1">(C61+C62)*C60+C59*(C23-C60)</f>
        <v>5311.58265961091</v>
      </c>
    </row>
    <row r="65" spans="1:3" x14ac:dyDescent="0.2">
      <c r="A65" s="751" t="s">
        <v>147</v>
      </c>
      <c r="B65" s="752"/>
      <c r="C65" s="121">
        <f ca="1">(C61+C62)/C19</f>
        <v>0.37694121571209255</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0.99999977137631457</v>
      </c>
    </row>
    <row r="69" spans="1:3" ht="15.75" thickBot="1" x14ac:dyDescent="0.35">
      <c r="A69" s="581" t="s">
        <v>150</v>
      </c>
      <c r="B69" s="582"/>
      <c r="C69" s="601">
        <f ca="1">IF(C67=0,0,C68*B24)</f>
        <v>4373.9989999999998</v>
      </c>
    </row>
    <row r="70" spans="1:3" ht="13.5" thickBot="1" x14ac:dyDescent="0.25">
      <c r="C70" s="108"/>
    </row>
    <row r="71" spans="1:3" ht="13.5" thickBot="1" x14ac:dyDescent="0.25">
      <c r="A71" s="760" t="s">
        <v>357</v>
      </c>
      <c r="B71" s="761"/>
      <c r="C71" s="127">
        <f ca="1">C56+C64+C69</f>
        <v>11284.540356322277</v>
      </c>
    </row>
    <row r="72" spans="1:3" ht="13.5" thickBot="1" x14ac:dyDescent="0.25">
      <c r="A72" s="762" t="s">
        <v>9</v>
      </c>
      <c r="B72" s="763"/>
      <c r="C72" s="128">
        <f ca="1">C91</f>
        <v>125465.89167552754</v>
      </c>
    </row>
    <row r="74" spans="1:3" x14ac:dyDescent="0.2">
      <c r="A74" s="764" t="s">
        <v>8</v>
      </c>
      <c r="B74" s="764"/>
      <c r="C74" s="764"/>
    </row>
    <row r="75" spans="1:3" x14ac:dyDescent="0.2">
      <c r="A75" s="567" t="s">
        <v>7</v>
      </c>
      <c r="B75" s="567" t="s">
        <v>6</v>
      </c>
      <c r="C75" s="567" t="s">
        <v>5</v>
      </c>
    </row>
    <row r="76" spans="1:3" x14ac:dyDescent="0.2">
      <c r="A76" s="129">
        <v>1</v>
      </c>
      <c r="B76" s="130">
        <f ca="1">$C$71</f>
        <v>11284.540356322277</v>
      </c>
      <c r="C76" s="131">
        <f t="shared" ref="C76:C90" ca="1" si="1">B76/(1+$B$93)^A76</f>
        <v>10850.519573386804</v>
      </c>
    </row>
    <row r="77" spans="1:3" x14ac:dyDescent="0.2">
      <c r="A77" s="129">
        <v>2</v>
      </c>
      <c r="B77" s="130">
        <f t="shared" ref="B77:B90" ca="1" si="2">$C$71</f>
        <v>11284.540356322277</v>
      </c>
      <c r="C77" s="131">
        <f t="shared" ca="1" si="1"/>
        <v>10433.191897487312</v>
      </c>
    </row>
    <row r="78" spans="1:3" x14ac:dyDescent="0.2">
      <c r="A78" s="129">
        <v>3</v>
      </c>
      <c r="B78" s="130">
        <f t="shared" ca="1" si="2"/>
        <v>11284.540356322277</v>
      </c>
      <c r="C78" s="131">
        <f t="shared" ca="1" si="1"/>
        <v>10031.915286045492</v>
      </c>
    </row>
    <row r="79" spans="1:3" x14ac:dyDescent="0.2">
      <c r="A79" s="129">
        <v>4</v>
      </c>
      <c r="B79" s="130">
        <f t="shared" ca="1" si="2"/>
        <v>11284.540356322277</v>
      </c>
      <c r="C79" s="131">
        <f t="shared" ca="1" si="1"/>
        <v>9646.0723904283568</v>
      </c>
    </row>
    <row r="80" spans="1:3" x14ac:dyDescent="0.2">
      <c r="A80" s="129">
        <v>5</v>
      </c>
      <c r="B80" s="130">
        <f t="shared" ca="1" si="2"/>
        <v>11284.540356322277</v>
      </c>
      <c r="C80" s="131">
        <f t="shared" ca="1" si="1"/>
        <v>9275.0696061811104</v>
      </c>
    </row>
    <row r="81" spans="1:3" x14ac:dyDescent="0.2">
      <c r="A81" s="129">
        <v>6</v>
      </c>
      <c r="B81" s="130">
        <f t="shared" ca="1" si="2"/>
        <v>11284.540356322277</v>
      </c>
      <c r="C81" s="131">
        <f t="shared" ca="1" si="1"/>
        <v>8918.3361597895291</v>
      </c>
    </row>
    <row r="82" spans="1:3" x14ac:dyDescent="0.2">
      <c r="A82" s="129">
        <v>7</v>
      </c>
      <c r="B82" s="130">
        <f t="shared" ca="1" si="2"/>
        <v>11284.540356322277</v>
      </c>
      <c r="C82" s="131">
        <f t="shared" ca="1" si="1"/>
        <v>8575.3232305668571</v>
      </c>
    </row>
    <row r="83" spans="1:3" x14ac:dyDescent="0.2">
      <c r="A83" s="129">
        <v>8</v>
      </c>
      <c r="B83" s="130">
        <f t="shared" ca="1" si="2"/>
        <v>11284.540356322277</v>
      </c>
      <c r="C83" s="131">
        <f t="shared" ca="1" si="1"/>
        <v>8245.5031063142833</v>
      </c>
    </row>
    <row r="84" spans="1:3" x14ac:dyDescent="0.2">
      <c r="A84" s="129">
        <v>9</v>
      </c>
      <c r="B84" s="130">
        <f t="shared" ca="1" si="2"/>
        <v>11284.540356322277</v>
      </c>
      <c r="C84" s="131">
        <f t="shared" ca="1" si="1"/>
        <v>7928.3683714560411</v>
      </c>
    </row>
    <row r="85" spans="1:3" x14ac:dyDescent="0.2">
      <c r="A85" s="129">
        <v>10</v>
      </c>
      <c r="B85" s="130">
        <f t="shared" ca="1" si="2"/>
        <v>11284.540356322277</v>
      </c>
      <c r="C85" s="131">
        <f t="shared" ca="1" si="1"/>
        <v>7623.4311264000398</v>
      </c>
    </row>
    <row r="86" spans="1:3" x14ac:dyDescent="0.2">
      <c r="A86" s="129">
        <v>11</v>
      </c>
      <c r="B86" s="130">
        <f t="shared" ca="1" si="2"/>
        <v>11284.540356322277</v>
      </c>
      <c r="C86" s="131">
        <f t="shared" ca="1" si="1"/>
        <v>7330.2222369231158</v>
      </c>
    </row>
    <row r="87" spans="1:3" x14ac:dyDescent="0.2">
      <c r="A87" s="129">
        <v>12</v>
      </c>
      <c r="B87" s="130">
        <f t="shared" ca="1" si="2"/>
        <v>11284.540356322277</v>
      </c>
      <c r="C87" s="131">
        <f t="shared" ca="1" si="1"/>
        <v>7048.2906124260717</v>
      </c>
    </row>
    <row r="88" spans="1:3" x14ac:dyDescent="0.2">
      <c r="A88" s="129">
        <v>13</v>
      </c>
      <c r="B88" s="130">
        <f t="shared" ca="1" si="2"/>
        <v>11284.540356322277</v>
      </c>
      <c r="C88" s="131">
        <f t="shared" ca="1" si="1"/>
        <v>6777.202511948145</v>
      </c>
    </row>
    <row r="89" spans="1:3" x14ac:dyDescent="0.2">
      <c r="A89" s="129">
        <v>14</v>
      </c>
      <c r="B89" s="130">
        <f t="shared" ca="1" si="2"/>
        <v>11284.540356322277</v>
      </c>
      <c r="C89" s="131">
        <f t="shared" ca="1" si="1"/>
        <v>6516.5408768732168</v>
      </c>
    </row>
    <row r="90" spans="1:3" x14ac:dyDescent="0.2">
      <c r="A90" s="129">
        <v>15</v>
      </c>
      <c r="B90" s="130">
        <f t="shared" ca="1" si="2"/>
        <v>11284.540356322277</v>
      </c>
      <c r="C90" s="131">
        <f t="shared" ca="1" si="1"/>
        <v>6265.90468930117</v>
      </c>
    </row>
    <row r="91" spans="1:3" x14ac:dyDescent="0.2">
      <c r="A91" s="759" t="s">
        <v>4</v>
      </c>
      <c r="B91" s="759"/>
      <c r="C91" s="132">
        <f ca="1">SUM(C76:C90)</f>
        <v>125465.89167552754</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v>
      </c>
      <c r="C98" s="394">
        <f t="shared" ref="C98:C103" si="3">B98*$C$51</f>
        <v>0</v>
      </c>
      <c r="D98" s="138">
        <v>0</v>
      </c>
      <c r="E98" s="139"/>
    </row>
    <row r="99" spans="1:5" x14ac:dyDescent="0.2">
      <c r="A99" s="137" t="s">
        <v>257</v>
      </c>
      <c r="B99" s="422">
        <v>0</v>
      </c>
      <c r="C99" s="394">
        <f t="shared" si="3"/>
        <v>0</v>
      </c>
      <c r="D99" s="138">
        <v>0</v>
      </c>
    </row>
    <row r="100" spans="1:5" x14ac:dyDescent="0.2">
      <c r="A100" s="137" t="s">
        <v>96</v>
      </c>
      <c r="B100" s="422">
        <v>0</v>
      </c>
      <c r="C100" s="394">
        <f t="shared" si="3"/>
        <v>0</v>
      </c>
      <c r="D100" s="138">
        <v>0</v>
      </c>
    </row>
    <row r="101" spans="1:5" s="112" customFormat="1" x14ac:dyDescent="0.2">
      <c r="A101" s="137" t="s">
        <v>340</v>
      </c>
      <c r="B101" s="422">
        <v>0</v>
      </c>
      <c r="C101" s="394">
        <f t="shared" si="3"/>
        <v>0</v>
      </c>
      <c r="D101" s="138">
        <v>0</v>
      </c>
    </row>
    <row r="102" spans="1:5" x14ac:dyDescent="0.2">
      <c r="A102" s="137" t="s">
        <v>154</v>
      </c>
      <c r="B102" s="422">
        <v>1</v>
      </c>
      <c r="C102" s="394">
        <f t="shared" si="3"/>
        <v>216734.82233761909</v>
      </c>
      <c r="D102" s="138">
        <v>240816.4692640212</v>
      </c>
    </row>
    <row r="103" spans="1:5" x14ac:dyDescent="0.2">
      <c r="A103" s="137" t="s">
        <v>341</v>
      </c>
      <c r="B103" s="422">
        <v>0</v>
      </c>
      <c r="C103" s="394">
        <f t="shared" si="3"/>
        <v>0</v>
      </c>
      <c r="D103" s="138">
        <v>0</v>
      </c>
    </row>
    <row r="104" spans="1:5" x14ac:dyDescent="0.2">
      <c r="A104" s="135" t="s">
        <v>5</v>
      </c>
      <c r="B104" s="423">
        <f>SUM(B98:B103)</f>
        <v>1</v>
      </c>
      <c r="C104" s="424">
        <f>SUM(C98:C103)</f>
        <v>216734.82233761909</v>
      </c>
      <c r="D104" s="424">
        <f>SUM(D98:D103)</f>
        <v>240816.4692640212</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0</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6"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pageSetUpPr fitToPage="1"/>
  </sheetPr>
  <dimension ref="A1:Q108"/>
  <sheetViews>
    <sheetView topLeftCell="A34" zoomScale="110" zoomScaleNormal="110" zoomScaleSheetLayoutView="110" zoomScalePageLayoutView="110" workbookViewId="0">
      <selection activeCell="B4" sqref="B4:C4"/>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14.25" x14ac:dyDescent="0.2">
      <c r="A4" s="94" t="s">
        <v>30</v>
      </c>
      <c r="B4" s="741" t="str">
        <f ca="1">VLOOKUP($B$6,'Referenčne količine'!$B$3:$AQ$17,2,)</f>
        <v>VRTEC BREŽICE</v>
      </c>
      <c r="C4" s="742"/>
    </row>
    <row r="5" spans="1:7" x14ac:dyDescent="0.2">
      <c r="A5" s="94" t="s">
        <v>29</v>
      </c>
      <c r="B5" s="735" t="str">
        <f ca="1">VLOOKUP($B$6,'Referenčne količine'!$B$3:$AQ$17,3,)</f>
        <v>Šolska ulica 5, 8250 Brežice</v>
      </c>
      <c r="C5" s="736"/>
    </row>
    <row r="6" spans="1:7" x14ac:dyDescent="0.2">
      <c r="A6" s="94" t="s">
        <v>28</v>
      </c>
      <c r="B6" s="735" t="str">
        <f ca="1">RIGHT(CELL("filename",A1),4)</f>
        <v>OB15</v>
      </c>
      <c r="C6" s="736"/>
    </row>
    <row r="7" spans="1:7" x14ac:dyDescent="0.2">
      <c r="A7" s="94" t="s">
        <v>27</v>
      </c>
      <c r="B7" s="735">
        <f ca="1">VLOOKUP($B$6,'Referenčne količine'!$B$3:$AQ$17,6,)</f>
        <v>3566.4</v>
      </c>
      <c r="C7" s="736"/>
      <c r="F7" s="95"/>
      <c r="G7" s="95"/>
    </row>
    <row r="8" spans="1:7" ht="13.5" thickBot="1" x14ac:dyDescent="0.25">
      <c r="A8" s="96" t="s">
        <v>26</v>
      </c>
      <c r="B8" s="746" t="str">
        <f ca="1">VLOOKUP($B$6,'Referenčne količine'!$B$3:$AQ$17,15,)</f>
        <v>ZP+EE (TČ)</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279841.47250000003</v>
      </c>
      <c r="C12" s="425">
        <f ca="1">VLOOKUP($B$6,'Referenčne količine'!$B$3:$AQ$17,22,)</f>
        <v>279841.47250000003</v>
      </c>
      <c r="E12" s="100"/>
      <c r="F12" s="100"/>
    </row>
    <row r="13" spans="1:7" x14ac:dyDescent="0.2">
      <c r="A13" s="85" t="s">
        <v>136</v>
      </c>
      <c r="B13" s="101">
        <f ca="1">VLOOKUP($B$6,'Referenčne količine'!$B$3:$AQ$17,24,)</f>
        <v>555857</v>
      </c>
      <c r="C13" s="101">
        <f ca="1">VLOOKUP($B$6,'Referenčne količine'!$B$3:$AQ$17,25,)</f>
        <v>555857</v>
      </c>
      <c r="E13" s="100"/>
      <c r="F13" s="100"/>
    </row>
    <row r="14" spans="1:7" x14ac:dyDescent="0.2">
      <c r="A14" s="86" t="s">
        <v>122</v>
      </c>
      <c r="B14" s="102"/>
      <c r="C14" s="102">
        <f ca="1">VLOOKUP($B$6,'Referenčne količine'!$B$3:$AQ$17,29,)</f>
        <v>511388.44</v>
      </c>
      <c r="E14" s="95"/>
      <c r="F14" s="95"/>
    </row>
    <row r="15" spans="1:7" x14ac:dyDescent="0.2">
      <c r="A15" s="566" t="s">
        <v>333</v>
      </c>
      <c r="B15" s="102"/>
      <c r="C15" s="102">
        <f ca="1">VLOOKUP($B$6,'Referenčne količine'!$B$3:$AQ$17,30,)</f>
        <v>44468.56</v>
      </c>
      <c r="E15" s="95"/>
      <c r="F15" s="95"/>
    </row>
    <row r="16" spans="1:7" x14ac:dyDescent="0.2">
      <c r="A16" s="86" t="s">
        <v>123</v>
      </c>
      <c r="B16" s="102"/>
      <c r="C16" s="102">
        <f ca="1">VLOOKUP($B$6,'Referenčne količine'!$B$3:$AQ$17,31,)</f>
        <v>0</v>
      </c>
      <c r="E16" s="100"/>
      <c r="F16" s="100"/>
    </row>
    <row r="17" spans="1:6" x14ac:dyDescent="0.2">
      <c r="A17" s="86" t="s">
        <v>124</v>
      </c>
      <c r="B17" s="590">
        <f ca="1">VLOOKUP($B$6,'Referenčne količine'!$B$3:$AQ$17,19,)</f>
        <v>23316.437341765755</v>
      </c>
      <c r="C17" s="590">
        <f ca="1">VLOOKUP($B$6,'Referenčne količine'!$B$3:$AQ$17,28,)</f>
        <v>23316.437341765755</v>
      </c>
      <c r="E17" s="100"/>
      <c r="F17" s="100"/>
    </row>
    <row r="18" spans="1:6" ht="13.5" thickBot="1" x14ac:dyDescent="0.25">
      <c r="A18" s="104" t="s">
        <v>137</v>
      </c>
      <c r="B18" s="105">
        <f ca="1">VLOOKUP($B$6,'Referenčne količine'!$B$3:$AQ$17,26,)/1000</f>
        <v>4.1946826866920368E-2</v>
      </c>
      <c r="C18" s="105">
        <f ca="1">VLOOKUP($B$6,'Referenčne količine'!$B$3:$AQ$17,26,)/1000</f>
        <v>4.1946826866920368E-2</v>
      </c>
      <c r="E18" s="100"/>
      <c r="F18" s="100"/>
    </row>
    <row r="19" spans="1:6" x14ac:dyDescent="0.2">
      <c r="A19" s="84" t="s">
        <v>127</v>
      </c>
      <c r="B19" s="99">
        <f ca="1">VLOOKUP($B$6,'Referenčne količine'!$B$3:$AQ$17,32,)</f>
        <v>163987.66666666669</v>
      </c>
      <c r="C19" s="99">
        <f ca="1">VLOOKUP($B$6,'Referenčne količine'!$B$3:$AQ$17,36,)</f>
        <v>163987.66666666669</v>
      </c>
      <c r="E19" s="100"/>
      <c r="F19" s="100"/>
    </row>
    <row r="20" spans="1:6" x14ac:dyDescent="0.2">
      <c r="A20" s="88" t="s">
        <v>128</v>
      </c>
      <c r="B20" s="102"/>
      <c r="C20" s="101">
        <f ca="1">VLOOKUP($B$6,'Referenčne količine'!$B$3:$AQ$17,38,)</f>
        <v>0</v>
      </c>
      <c r="E20" s="100"/>
      <c r="F20" s="100"/>
    </row>
    <row r="21" spans="1:6" x14ac:dyDescent="0.2">
      <c r="A21" s="88" t="s">
        <v>129</v>
      </c>
      <c r="B21" s="101"/>
      <c r="C21" s="101">
        <f ca="1">VLOOKUP($B$6,'Referenčne količine'!$B$3:$AQ$17,39,)</f>
        <v>163987.66666666669</v>
      </c>
      <c r="E21" s="100"/>
      <c r="F21" s="100"/>
    </row>
    <row r="22" spans="1:6" x14ac:dyDescent="0.2">
      <c r="A22" s="89" t="s">
        <v>130</v>
      </c>
      <c r="B22" s="106">
        <f ca="1">VLOOKUP($B$6,'Referenčne količine'!$B$3:$AQ$17,33,)</f>
        <v>17449.066711150914</v>
      </c>
      <c r="C22" s="103">
        <f ca="1">VLOOKUP($B$6,'Referenčne količine'!$B$3:$AQ$17,37,)</f>
        <v>17449.066711150914</v>
      </c>
      <c r="D22" s="346"/>
      <c r="E22" s="100"/>
      <c r="F22" s="100"/>
    </row>
    <row r="23" spans="1:6" ht="13.5" thickBot="1" x14ac:dyDescent="0.25">
      <c r="A23" s="90" t="s">
        <v>131</v>
      </c>
      <c r="B23" s="524">
        <f ca="1">VLOOKUP($B$6,'Referenčne količine'!$B$3:$AQ$17,34,)</f>
        <v>0.10640475022197347</v>
      </c>
      <c r="C23" s="524">
        <f ca="1">VLOOKUP($B$6,'Referenčne količine'!$B$3:$AQ$17,34,)</f>
        <v>0.10640475022197347</v>
      </c>
      <c r="E23" s="100"/>
      <c r="F23" s="100"/>
    </row>
    <row r="24" spans="1:6" ht="14.45" customHeight="1" thickBot="1" x14ac:dyDescent="0.25">
      <c r="A24" s="594" t="s">
        <v>132</v>
      </c>
      <c r="B24" s="595">
        <f ca="1">VLOOKUP($B$6,'Referenčne količine'!$B$3:$AQ$17,41,)</f>
        <v>13583.2</v>
      </c>
      <c r="C24" s="596"/>
      <c r="E24" s="100"/>
      <c r="F24" s="100"/>
    </row>
    <row r="25" spans="1:6" ht="13.5" thickBot="1" x14ac:dyDescent="0.25">
      <c r="F25" s="571">
        <f ca="1">VALUE(RIGHT(CELL("filename",A1),2))</f>
        <v>15</v>
      </c>
    </row>
    <row r="26" spans="1:6" x14ac:dyDescent="0.2">
      <c r="A26" s="738" t="s">
        <v>138</v>
      </c>
      <c r="B26" s="739"/>
      <c r="C26" s="740"/>
      <c r="F26" s="572">
        <v>1</v>
      </c>
    </row>
    <row r="27" spans="1:6" x14ac:dyDescent="0.2">
      <c r="A27" s="568" t="s">
        <v>476</v>
      </c>
      <c r="B27" s="569"/>
      <c r="C27" s="570"/>
      <c r="D27" s="107"/>
      <c r="F27" s="572">
        <f t="shared" ref="F27:F44" si="0">F26+1</f>
        <v>2</v>
      </c>
    </row>
    <row r="28" spans="1:6" ht="13.15" customHeight="1" x14ac:dyDescent="0.2">
      <c r="A28" s="743" t="s">
        <v>476</v>
      </c>
      <c r="B28" s="744"/>
      <c r="C28" s="745"/>
      <c r="E28" s="107"/>
      <c r="F28" s="572">
        <f t="shared" si="0"/>
        <v>3</v>
      </c>
    </row>
    <row r="29" spans="1:6" x14ac:dyDescent="0.2">
      <c r="A29" s="743" t="s">
        <v>476</v>
      </c>
      <c r="B29" s="744"/>
      <c r="C29" s="745"/>
      <c r="E29" s="107"/>
      <c r="F29" s="572">
        <f t="shared" si="0"/>
        <v>4</v>
      </c>
    </row>
    <row r="30" spans="1:6" x14ac:dyDescent="0.2">
      <c r="A30" s="743" t="s">
        <v>476</v>
      </c>
      <c r="B30" s="744"/>
      <c r="C30" s="745"/>
      <c r="E30" s="107"/>
      <c r="F30" s="572">
        <f t="shared" si="0"/>
        <v>5</v>
      </c>
    </row>
    <row r="31" spans="1:6" x14ac:dyDescent="0.2">
      <c r="A31" s="743" t="s">
        <v>476</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0</v>
      </c>
    </row>
    <row r="47" spans="1:17" x14ac:dyDescent="0.2">
      <c r="A47" s="751" t="s">
        <v>140</v>
      </c>
      <c r="B47" s="752"/>
      <c r="C47" s="110">
        <f>C46*0.22</f>
        <v>0</v>
      </c>
      <c r="D47" s="95"/>
    </row>
    <row r="48" spans="1:17" ht="13.5" thickBot="1" x14ac:dyDescent="0.25">
      <c r="A48" s="755" t="s">
        <v>141</v>
      </c>
      <c r="B48" s="756"/>
      <c r="C48" s="111">
        <f>C47+C46</f>
        <v>0</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0</v>
      </c>
      <c r="E51" s="112"/>
      <c r="F51" s="112"/>
      <c r="G51" s="112"/>
      <c r="H51" s="112"/>
      <c r="I51" s="112"/>
      <c r="J51" s="112"/>
      <c r="K51" s="112"/>
      <c r="L51" s="112"/>
      <c r="M51" s="112"/>
      <c r="N51" s="112"/>
      <c r="O51" s="112"/>
      <c r="P51" s="112"/>
      <c r="Q51" s="112"/>
    </row>
    <row r="52" spans="1:17" x14ac:dyDescent="0.2">
      <c r="A52" s="757" t="s">
        <v>218</v>
      </c>
      <c r="B52" s="758"/>
      <c r="C52" s="116">
        <v>0</v>
      </c>
      <c r="E52" s="112"/>
      <c r="F52" s="112"/>
      <c r="G52" s="112"/>
      <c r="H52" s="112"/>
      <c r="I52" s="112"/>
      <c r="J52" s="112"/>
      <c r="K52" s="112"/>
      <c r="L52" s="112"/>
      <c r="M52" s="112"/>
      <c r="N52" s="112"/>
      <c r="O52" s="112"/>
      <c r="P52" s="112"/>
      <c r="Q52" s="112"/>
    </row>
    <row r="53" spans="1:17" x14ac:dyDescent="0.2">
      <c r="A53" s="751" t="s">
        <v>213</v>
      </c>
      <c r="B53" s="752"/>
      <c r="C53" s="117">
        <f>IF(C51=0, 0,C13- C51)</f>
        <v>0</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0</v>
      </c>
      <c r="E55" s="112"/>
      <c r="F55" s="112"/>
      <c r="G55" s="112"/>
      <c r="H55" s="112"/>
      <c r="I55" s="112"/>
      <c r="J55" s="112"/>
      <c r="K55" s="112"/>
      <c r="L55" s="112"/>
      <c r="M55" s="112"/>
      <c r="N55" s="112"/>
      <c r="O55" s="112"/>
      <c r="P55" s="112"/>
      <c r="Q55" s="112"/>
    </row>
    <row r="56" spans="1:17" x14ac:dyDescent="0.2">
      <c r="A56" s="577" t="s">
        <v>219</v>
      </c>
      <c r="B56" s="578"/>
      <c r="C56" s="120">
        <f ca="1">(C53+C54)*C18+C51*(C18-C52)</f>
        <v>0</v>
      </c>
      <c r="E56" s="112"/>
      <c r="F56" s="112"/>
      <c r="G56" s="112"/>
      <c r="H56" s="112"/>
      <c r="I56" s="112"/>
      <c r="J56" s="112"/>
      <c r="K56" s="112"/>
      <c r="L56" s="112"/>
      <c r="M56" s="112"/>
      <c r="N56" s="112"/>
      <c r="O56" s="112"/>
      <c r="P56" s="112"/>
      <c r="Q56" s="112"/>
    </row>
    <row r="57" spans="1:17" x14ac:dyDescent="0.2">
      <c r="A57" s="577" t="s">
        <v>216</v>
      </c>
      <c r="B57" s="578"/>
      <c r="C57" s="121">
        <f ca="1">(C53+C54)/C14</f>
        <v>0</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0</v>
      </c>
      <c r="E59" s="347"/>
    </row>
    <row r="60" spans="1:17" x14ac:dyDescent="0.2">
      <c r="A60" s="751" t="s">
        <v>142</v>
      </c>
      <c r="B60" s="752"/>
      <c r="C60" s="116">
        <f ca="1">C23</f>
        <v>0.10640475022197347</v>
      </c>
    </row>
    <row r="61" spans="1:17" x14ac:dyDescent="0.2">
      <c r="A61" s="751" t="s">
        <v>143</v>
      </c>
      <c r="B61" s="752"/>
      <c r="C61" s="117">
        <f>IF(C59=0,0,C19-C59)</f>
        <v>0</v>
      </c>
      <c r="D61" s="347"/>
    </row>
    <row r="62" spans="1:17" x14ac:dyDescent="0.2">
      <c r="A62" s="751" t="s">
        <v>144</v>
      </c>
      <c r="B62" s="752"/>
      <c r="C62" s="140">
        <v>0</v>
      </c>
    </row>
    <row r="63" spans="1:17" x14ac:dyDescent="0.2">
      <c r="A63" s="751" t="s">
        <v>145</v>
      </c>
      <c r="B63" s="752"/>
      <c r="C63" s="119">
        <f ca="1">C59*C60</f>
        <v>0</v>
      </c>
    </row>
    <row r="64" spans="1:17" x14ac:dyDescent="0.2">
      <c r="A64" s="579" t="s">
        <v>146</v>
      </c>
      <c r="B64" s="580"/>
      <c r="C64" s="120">
        <f ca="1">(C61+C62)*C60+C59*(C23-C60)</f>
        <v>0</v>
      </c>
    </row>
    <row r="65" spans="1:3" x14ac:dyDescent="0.2">
      <c r="A65" s="751" t="s">
        <v>147</v>
      </c>
      <c r="B65" s="752"/>
      <c r="C65" s="121">
        <f ca="1">(C61+C62)/C19</f>
        <v>0</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0.99999992637964541</v>
      </c>
    </row>
    <row r="69" spans="1:3" ht="15.75" thickBot="1" x14ac:dyDescent="0.35">
      <c r="A69" s="581" t="s">
        <v>150</v>
      </c>
      <c r="B69" s="582"/>
      <c r="C69" s="601">
        <f ca="1">IF(C67=0,0,C68*B24)</f>
        <v>13583.199000000001</v>
      </c>
    </row>
    <row r="70" spans="1:3" ht="13.5" thickBot="1" x14ac:dyDescent="0.25">
      <c r="C70" s="108"/>
    </row>
    <row r="71" spans="1:3" ht="13.5" thickBot="1" x14ac:dyDescent="0.25">
      <c r="A71" s="760" t="s">
        <v>357</v>
      </c>
      <c r="B71" s="761"/>
      <c r="C71" s="127">
        <f ca="1">C56+C64+C69</f>
        <v>13583.199000000001</v>
      </c>
    </row>
    <row r="72" spans="1:3" ht="13.5" thickBot="1" x14ac:dyDescent="0.25">
      <c r="A72" s="762" t="s">
        <v>9</v>
      </c>
      <c r="B72" s="763"/>
      <c r="C72" s="128">
        <f ca="1">C91</f>
        <v>151023.26905023854</v>
      </c>
    </row>
    <row r="74" spans="1:3" x14ac:dyDescent="0.2">
      <c r="A74" s="764" t="s">
        <v>8</v>
      </c>
      <c r="B74" s="764"/>
      <c r="C74" s="764"/>
    </row>
    <row r="75" spans="1:3" x14ac:dyDescent="0.2">
      <c r="A75" s="567" t="s">
        <v>7</v>
      </c>
      <c r="B75" s="567" t="s">
        <v>6</v>
      </c>
      <c r="C75" s="567" t="s">
        <v>5</v>
      </c>
    </row>
    <row r="76" spans="1:3" x14ac:dyDescent="0.2">
      <c r="A76" s="129">
        <v>1</v>
      </c>
      <c r="B76" s="130">
        <f ca="1">$C$71</f>
        <v>13583.199000000001</v>
      </c>
      <c r="C76" s="131">
        <f t="shared" ref="C76:C90" ca="1" si="1">B76/(1+$B$93)^A76</f>
        <v>13060.76826923077</v>
      </c>
    </row>
    <row r="77" spans="1:3" x14ac:dyDescent="0.2">
      <c r="A77" s="129">
        <v>2</v>
      </c>
      <c r="B77" s="130">
        <f t="shared" ref="B77:B90" ca="1" si="2">$C$71</f>
        <v>13583.199000000001</v>
      </c>
      <c r="C77" s="131">
        <f t="shared" ca="1" si="1"/>
        <v>12558.431028106508</v>
      </c>
    </row>
    <row r="78" spans="1:3" x14ac:dyDescent="0.2">
      <c r="A78" s="129">
        <v>3</v>
      </c>
      <c r="B78" s="130">
        <f t="shared" ca="1" si="2"/>
        <v>13583.199000000001</v>
      </c>
      <c r="C78" s="131">
        <f t="shared" ca="1" si="1"/>
        <v>12075.414450102411</v>
      </c>
    </row>
    <row r="79" spans="1:3" x14ac:dyDescent="0.2">
      <c r="A79" s="129">
        <v>4</v>
      </c>
      <c r="B79" s="130">
        <f t="shared" ca="1" si="2"/>
        <v>13583.199000000001</v>
      </c>
      <c r="C79" s="131">
        <f t="shared" ca="1" si="1"/>
        <v>11610.975432790779</v>
      </c>
    </row>
    <row r="80" spans="1:3" x14ac:dyDescent="0.2">
      <c r="A80" s="129">
        <v>5</v>
      </c>
      <c r="B80" s="130">
        <f t="shared" ca="1" si="2"/>
        <v>13583.199000000001</v>
      </c>
      <c r="C80" s="131">
        <f t="shared" ca="1" si="1"/>
        <v>11164.399454606517</v>
      </c>
    </row>
    <row r="81" spans="1:3" x14ac:dyDescent="0.2">
      <c r="A81" s="129">
        <v>6</v>
      </c>
      <c r="B81" s="130">
        <f t="shared" ca="1" si="2"/>
        <v>13583.199000000001</v>
      </c>
      <c r="C81" s="131">
        <f t="shared" ca="1" si="1"/>
        <v>10734.99947558319</v>
      </c>
    </row>
    <row r="82" spans="1:3" x14ac:dyDescent="0.2">
      <c r="A82" s="129">
        <v>7</v>
      </c>
      <c r="B82" s="130">
        <f t="shared" ca="1" si="2"/>
        <v>13583.199000000001</v>
      </c>
      <c r="C82" s="131">
        <f t="shared" ca="1" si="1"/>
        <v>10322.114880368454</v>
      </c>
    </row>
    <row r="83" spans="1:3" x14ac:dyDescent="0.2">
      <c r="A83" s="129">
        <v>8</v>
      </c>
      <c r="B83" s="130">
        <f t="shared" ca="1" si="2"/>
        <v>13583.199000000001</v>
      </c>
      <c r="C83" s="131">
        <f t="shared" ca="1" si="1"/>
        <v>9925.110461892742</v>
      </c>
    </row>
    <row r="84" spans="1:3" x14ac:dyDescent="0.2">
      <c r="A84" s="129">
        <v>9</v>
      </c>
      <c r="B84" s="130">
        <f t="shared" ca="1" si="2"/>
        <v>13583.199000000001</v>
      </c>
      <c r="C84" s="131">
        <f t="shared" ca="1" si="1"/>
        <v>9543.375444127636</v>
      </c>
    </row>
    <row r="85" spans="1:3" x14ac:dyDescent="0.2">
      <c r="A85" s="129">
        <v>10</v>
      </c>
      <c r="B85" s="130">
        <f t="shared" ca="1" si="2"/>
        <v>13583.199000000001</v>
      </c>
      <c r="C85" s="131">
        <f t="shared" ca="1" si="1"/>
        <v>9176.3225424304183</v>
      </c>
    </row>
    <row r="86" spans="1:3" x14ac:dyDescent="0.2">
      <c r="A86" s="129">
        <v>11</v>
      </c>
      <c r="B86" s="130">
        <f t="shared" ca="1" si="2"/>
        <v>13583.199000000001</v>
      </c>
      <c r="C86" s="131">
        <f t="shared" ca="1" si="1"/>
        <v>8823.3870600292485</v>
      </c>
    </row>
    <row r="87" spans="1:3" x14ac:dyDescent="0.2">
      <c r="A87" s="129">
        <v>12</v>
      </c>
      <c r="B87" s="130">
        <f t="shared" ca="1" si="2"/>
        <v>13583.199000000001</v>
      </c>
      <c r="C87" s="131">
        <f t="shared" ca="1" si="1"/>
        <v>8484.0260192588921</v>
      </c>
    </row>
    <row r="88" spans="1:3" x14ac:dyDescent="0.2">
      <c r="A88" s="129">
        <v>13</v>
      </c>
      <c r="B88" s="130">
        <f t="shared" ca="1" si="2"/>
        <v>13583.199000000001</v>
      </c>
      <c r="C88" s="131">
        <f t="shared" ca="1" si="1"/>
        <v>8157.7173262104725</v>
      </c>
    </row>
    <row r="89" spans="1:3" x14ac:dyDescent="0.2">
      <c r="A89" s="129">
        <v>14</v>
      </c>
      <c r="B89" s="130">
        <f t="shared" ca="1" si="2"/>
        <v>13583.199000000001</v>
      </c>
      <c r="C89" s="131">
        <f t="shared" ca="1" si="1"/>
        <v>7843.9589675100697</v>
      </c>
    </row>
    <row r="90" spans="1:3" x14ac:dyDescent="0.2">
      <c r="A90" s="129">
        <v>15</v>
      </c>
      <c r="B90" s="130">
        <f t="shared" ca="1" si="2"/>
        <v>13583.199000000001</v>
      </c>
      <c r="C90" s="131">
        <f t="shared" ca="1" si="1"/>
        <v>7542.2682379904518</v>
      </c>
    </row>
    <row r="91" spans="1:3" x14ac:dyDescent="0.2">
      <c r="A91" s="759" t="s">
        <v>4</v>
      </c>
      <c r="B91" s="759"/>
      <c r="C91" s="132">
        <f ca="1">SUM(C76:C90)</f>
        <v>151023.26905023854</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0.79300000000000004</v>
      </c>
      <c r="C98" s="394">
        <f t="shared" ref="C98:C103" si="3">B98*$C$51</f>
        <v>0</v>
      </c>
      <c r="D98" s="138">
        <v>0</v>
      </c>
      <c r="E98" s="139"/>
    </row>
    <row r="99" spans="1:5" x14ac:dyDescent="0.2">
      <c r="A99" s="137" t="s">
        <v>257</v>
      </c>
      <c r="B99" s="422">
        <v>0</v>
      </c>
      <c r="C99" s="394">
        <f t="shared" si="3"/>
        <v>0</v>
      </c>
      <c r="D99" s="138">
        <v>0</v>
      </c>
    </row>
    <row r="100" spans="1:5" x14ac:dyDescent="0.2">
      <c r="A100" s="137" t="s">
        <v>96</v>
      </c>
      <c r="B100" s="422">
        <v>0</v>
      </c>
      <c r="C100" s="394">
        <f t="shared" si="3"/>
        <v>0</v>
      </c>
      <c r="D100" s="138">
        <v>0</v>
      </c>
    </row>
    <row r="101" spans="1:5" s="112" customFormat="1" x14ac:dyDescent="0.2">
      <c r="A101" s="137" t="s">
        <v>340</v>
      </c>
      <c r="B101" s="422">
        <v>0</v>
      </c>
      <c r="C101" s="394">
        <f t="shared" si="3"/>
        <v>0</v>
      </c>
      <c r="D101" s="138">
        <v>0</v>
      </c>
    </row>
    <row r="102" spans="1:5" x14ac:dyDescent="0.2">
      <c r="A102" s="137" t="s">
        <v>154</v>
      </c>
      <c r="B102" s="422">
        <v>0.20699999999999996</v>
      </c>
      <c r="C102" s="394">
        <f t="shared" si="3"/>
        <v>0</v>
      </c>
      <c r="D102" s="138">
        <v>0</v>
      </c>
    </row>
    <row r="103" spans="1:5" x14ac:dyDescent="0.2">
      <c r="A103" s="137" t="s">
        <v>341</v>
      </c>
      <c r="B103" s="422">
        <v>0</v>
      </c>
      <c r="C103" s="394">
        <f t="shared" si="3"/>
        <v>0</v>
      </c>
      <c r="D103" s="138">
        <v>0</v>
      </c>
    </row>
    <row r="104" spans="1:5" x14ac:dyDescent="0.2">
      <c r="A104" s="135" t="s">
        <v>5</v>
      </c>
      <c r="B104" s="423">
        <f>SUM(B98:B103)</f>
        <v>1</v>
      </c>
      <c r="C104" s="424">
        <f>SUM(C98:C103)</f>
        <v>0</v>
      </c>
      <c r="D104" s="424">
        <f>SUM(D98:D103)</f>
        <v>0</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0</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5"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Q108"/>
  <sheetViews>
    <sheetView topLeftCell="A25" zoomScale="110" zoomScaleNormal="110" zoomScaleSheetLayoutView="110" zoomScalePageLayoutView="110" workbookViewId="0">
      <selection activeCell="C47" sqref="C47"/>
    </sheetView>
  </sheetViews>
  <sheetFormatPr defaultColWidth="9.140625" defaultRowHeight="12.75" x14ac:dyDescent="0.2"/>
  <cols>
    <col min="1" max="1" width="44.7109375" style="91" customWidth="1"/>
    <col min="2" max="2" width="23.7109375" style="91" customWidth="1"/>
    <col min="3" max="3" width="20.85546875" style="91" customWidth="1"/>
    <col min="4" max="4" width="20.140625" style="91" customWidth="1"/>
    <col min="5" max="5" width="21" style="91" customWidth="1"/>
    <col min="6" max="16384" width="9.140625" style="91"/>
  </cols>
  <sheetData>
    <row r="1" spans="1:7" ht="18.75" x14ac:dyDescent="0.3">
      <c r="A1" s="737" t="s">
        <v>2</v>
      </c>
      <c r="B1" s="737"/>
      <c r="E1" s="92"/>
    </row>
    <row r="2" spans="1:7" ht="13.5" thickBot="1" x14ac:dyDescent="0.25">
      <c r="C2" s="93"/>
      <c r="E2" s="92"/>
    </row>
    <row r="3" spans="1:7" x14ac:dyDescent="0.2">
      <c r="A3" s="738" t="s">
        <v>31</v>
      </c>
      <c r="B3" s="739"/>
      <c r="C3" s="740"/>
    </row>
    <row r="4" spans="1:7" ht="33" customHeight="1" x14ac:dyDescent="0.2">
      <c r="A4" s="94" t="s">
        <v>30</v>
      </c>
      <c r="B4" s="741" t="str">
        <f ca="1">VLOOKUP($B$6,'Referenčne količine'!$B$3:$AQ$17,2,)</f>
        <v>OŠ CERKLJE OB KRKI</v>
      </c>
      <c r="C4" s="742"/>
    </row>
    <row r="5" spans="1:7" x14ac:dyDescent="0.2">
      <c r="A5" s="94" t="s">
        <v>29</v>
      </c>
      <c r="B5" s="735" t="str">
        <f ca="1">VLOOKUP($B$6,'Referenčne količine'!$B$3:$AQ$17,3,)</f>
        <v>Cerklje ob Krki 3, 8263 Cerklje ob Krki</v>
      </c>
      <c r="C5" s="736"/>
    </row>
    <row r="6" spans="1:7" x14ac:dyDescent="0.2">
      <c r="A6" s="94" t="s">
        <v>28</v>
      </c>
      <c r="B6" s="735" t="str">
        <f ca="1">RIGHT(CELL("filename",A1),4)</f>
        <v>OB16</v>
      </c>
      <c r="C6" s="736"/>
    </row>
    <row r="7" spans="1:7" x14ac:dyDescent="0.2">
      <c r="A7" s="94" t="s">
        <v>27</v>
      </c>
      <c r="B7" s="735">
        <f ca="1">VLOOKUP($B$6,'Referenčne količine'!$B$3:$AQ$17,6,)</f>
        <v>3533</v>
      </c>
      <c r="C7" s="736"/>
      <c r="F7" s="95"/>
      <c r="G7" s="95"/>
    </row>
    <row r="8" spans="1:7" ht="13.5" thickBot="1" x14ac:dyDescent="0.25">
      <c r="A8" s="96" t="s">
        <v>26</v>
      </c>
      <c r="B8" s="746" t="str">
        <f ca="1">VLOOKUP($B$6,'Referenčne količine'!$B$3:$AQ$17,15,)</f>
        <v>ZP+EE (TČ)</v>
      </c>
      <c r="C8" s="747"/>
    </row>
    <row r="9" spans="1:7" ht="13.5" thickBot="1" x14ac:dyDescent="0.25"/>
    <row r="10" spans="1:7" x14ac:dyDescent="0.2">
      <c r="A10" s="748" t="s">
        <v>358</v>
      </c>
      <c r="B10" s="749"/>
      <c r="C10" s="750"/>
    </row>
    <row r="11" spans="1:7" ht="26.25" thickBot="1" x14ac:dyDescent="0.25">
      <c r="A11" s="97" t="s">
        <v>133</v>
      </c>
      <c r="B11" s="87" t="s">
        <v>126</v>
      </c>
      <c r="C11" s="98" t="s">
        <v>134</v>
      </c>
    </row>
    <row r="12" spans="1:7" x14ac:dyDescent="0.2">
      <c r="A12" s="84" t="s">
        <v>135</v>
      </c>
      <c r="B12" s="99">
        <f ca="1">VLOOKUP($B$6,'Referenčne količine'!$B$3:$AQ$17,20,)</f>
        <v>194945.2</v>
      </c>
      <c r="C12" s="425">
        <f ca="1">VLOOKUP($B$6,'Referenčne količine'!$B$3:$AQ$17,22,)</f>
        <v>194945.2</v>
      </c>
      <c r="E12" s="100"/>
      <c r="F12" s="100"/>
    </row>
    <row r="13" spans="1:7" x14ac:dyDescent="0.2">
      <c r="A13" s="85" t="s">
        <v>136</v>
      </c>
      <c r="B13" s="101">
        <f ca="1">VLOOKUP($B$6,'Referenčne količine'!$B$3:$AQ$17,24,)</f>
        <v>311850</v>
      </c>
      <c r="C13" s="101">
        <f ca="1">VLOOKUP($B$6,'Referenčne količine'!$B$3:$AQ$17,25,)</f>
        <v>311850</v>
      </c>
      <c r="E13" s="100"/>
      <c r="F13" s="100"/>
    </row>
    <row r="14" spans="1:7" x14ac:dyDescent="0.2">
      <c r="A14" s="86" t="s">
        <v>122</v>
      </c>
      <c r="B14" s="102"/>
      <c r="C14" s="102">
        <f ca="1">VLOOKUP($B$6,'Referenčne količine'!$B$3:$AQ$17,29,)</f>
        <v>296257.5</v>
      </c>
      <c r="E14" s="95"/>
      <c r="F14" s="95"/>
    </row>
    <row r="15" spans="1:7" x14ac:dyDescent="0.2">
      <c r="A15" s="566" t="s">
        <v>333</v>
      </c>
      <c r="B15" s="102"/>
      <c r="C15" s="102">
        <f ca="1">VLOOKUP($B$6,'Referenčne količine'!$B$3:$AQ$17,30,)</f>
        <v>15592.5</v>
      </c>
      <c r="E15" s="95"/>
      <c r="F15" s="95"/>
    </row>
    <row r="16" spans="1:7" x14ac:dyDescent="0.2">
      <c r="A16" s="86" t="s">
        <v>123</v>
      </c>
      <c r="B16" s="102"/>
      <c r="C16" s="102">
        <f ca="1">VLOOKUP($B$6,'Referenčne količine'!$B$3:$AQ$17,31,)</f>
        <v>0</v>
      </c>
      <c r="E16" s="100"/>
      <c r="F16" s="100"/>
    </row>
    <row r="17" spans="1:6" x14ac:dyDescent="0.2">
      <c r="A17" s="86" t="s">
        <v>124</v>
      </c>
      <c r="B17" s="590">
        <f ca="1">VLOOKUP($B$6,'Referenčne količine'!$B$3:$AQ$17,19,)</f>
        <v>15578.270000000002</v>
      </c>
      <c r="C17" s="590">
        <f ca="1">VLOOKUP($B$6,'Referenčne količine'!$B$3:$AQ$17,28,)</f>
        <v>15578.270000000002</v>
      </c>
      <c r="E17" s="100"/>
      <c r="F17" s="100"/>
    </row>
    <row r="18" spans="1:6" ht="13.5" thickBot="1" x14ac:dyDescent="0.25">
      <c r="A18" s="104" t="s">
        <v>137</v>
      </c>
      <c r="B18" s="105">
        <f ca="1">VLOOKUP($B$6,'Referenčne količine'!$B$3:$AQ$17,26,)/1000</f>
        <v>4.9954369087702427E-2</v>
      </c>
      <c r="C18" s="105">
        <f ca="1">VLOOKUP($B$6,'Referenčne količine'!$B$3:$AQ$17,26,)/1000</f>
        <v>4.9954369087702427E-2</v>
      </c>
      <c r="E18" s="100"/>
      <c r="F18" s="100"/>
    </row>
    <row r="19" spans="1:6" x14ac:dyDescent="0.2">
      <c r="A19" s="84" t="s">
        <v>127</v>
      </c>
      <c r="B19" s="99">
        <f ca="1">VLOOKUP($B$6,'Referenčne količine'!$B$3:$AQ$17,32,)</f>
        <v>125791.79999999999</v>
      </c>
      <c r="C19" s="99">
        <f ca="1">VLOOKUP($B$6,'Referenčne količine'!$B$3:$AQ$17,36,)</f>
        <v>125791.79999999999</v>
      </c>
      <c r="E19" s="100"/>
      <c r="F19" s="100"/>
    </row>
    <row r="20" spans="1:6" x14ac:dyDescent="0.2">
      <c r="A20" s="88" t="s">
        <v>128</v>
      </c>
      <c r="B20" s="102"/>
      <c r="C20" s="101">
        <f ca="1">VLOOKUP($B$6,'Referenčne količine'!$B$3:$AQ$17,38,)</f>
        <v>0</v>
      </c>
      <c r="E20" s="100"/>
      <c r="F20" s="100"/>
    </row>
    <row r="21" spans="1:6" x14ac:dyDescent="0.2">
      <c r="A21" s="88" t="s">
        <v>129</v>
      </c>
      <c r="B21" s="101"/>
      <c r="C21" s="101">
        <f ca="1">VLOOKUP($B$6,'Referenčne količine'!$B$3:$AQ$17,39,)</f>
        <v>125791.79999999999</v>
      </c>
      <c r="E21" s="100"/>
      <c r="F21" s="100"/>
    </row>
    <row r="22" spans="1:6" x14ac:dyDescent="0.2">
      <c r="A22" s="89" t="s">
        <v>130</v>
      </c>
      <c r="B22" s="106">
        <f ca="1">VLOOKUP($B$6,'Referenčne količine'!$B$3:$AQ$17,33,)</f>
        <v>14619.539999999999</v>
      </c>
      <c r="C22" s="103">
        <f ca="1">VLOOKUP($B$6,'Referenčne količine'!$B$3:$AQ$17,37,)</f>
        <v>14619.539999999999</v>
      </c>
      <c r="D22" s="346"/>
      <c r="E22" s="100"/>
      <c r="F22" s="100"/>
    </row>
    <row r="23" spans="1:6" ht="13.5" thickBot="1" x14ac:dyDescent="0.25">
      <c r="A23" s="90" t="s">
        <v>131</v>
      </c>
      <c r="B23" s="524">
        <f ca="1">VLOOKUP($B$6,'Referenčne količine'!$B$3:$AQ$17,34,)</f>
        <v>0.11622013517574278</v>
      </c>
      <c r="C23" s="524">
        <f ca="1">VLOOKUP($B$6,'Referenčne količine'!$B$3:$AQ$17,34,)</f>
        <v>0.11622013517574278</v>
      </c>
      <c r="E23" s="100"/>
      <c r="F23" s="100"/>
    </row>
    <row r="24" spans="1:6" ht="14.45" customHeight="1" thickBot="1" x14ac:dyDescent="0.25">
      <c r="A24" s="594" t="s">
        <v>132</v>
      </c>
      <c r="B24" s="595">
        <f ca="1">VLOOKUP($B$6,'Referenčne količine'!$B$3:$AQ$17,41,)</f>
        <v>13566.5</v>
      </c>
      <c r="C24" s="596"/>
      <c r="E24" s="100"/>
      <c r="F24" s="100"/>
    </row>
    <row r="25" spans="1:6" ht="13.5" thickBot="1" x14ac:dyDescent="0.25">
      <c r="F25" s="571">
        <f ca="1">VALUE(RIGHT(CELL("filename",A1),2))</f>
        <v>16</v>
      </c>
    </row>
    <row r="26" spans="1:6" x14ac:dyDescent="0.2">
      <c r="A26" s="738" t="s">
        <v>138</v>
      </c>
      <c r="B26" s="739"/>
      <c r="C26" s="740"/>
      <c r="F26" s="572">
        <v>1</v>
      </c>
    </row>
    <row r="27" spans="1:6" x14ac:dyDescent="0.2">
      <c r="A27" s="568" t="s">
        <v>475</v>
      </c>
      <c r="B27" s="569"/>
      <c r="C27" s="570"/>
      <c r="D27" s="107"/>
      <c r="F27" s="572">
        <f t="shared" ref="F27:F44" si="0">F26+1</f>
        <v>2</v>
      </c>
    </row>
    <row r="28" spans="1:6" ht="13.15" customHeight="1" x14ac:dyDescent="0.2">
      <c r="A28" s="743" t="s">
        <v>476</v>
      </c>
      <c r="B28" s="744"/>
      <c r="C28" s="745"/>
      <c r="E28" s="107"/>
      <c r="F28" s="572">
        <f t="shared" si="0"/>
        <v>3</v>
      </c>
    </row>
    <row r="29" spans="1:6" x14ac:dyDescent="0.2">
      <c r="A29" s="743" t="s">
        <v>476</v>
      </c>
      <c r="B29" s="744"/>
      <c r="C29" s="745"/>
      <c r="E29" s="107"/>
      <c r="F29" s="572">
        <f t="shared" si="0"/>
        <v>4</v>
      </c>
    </row>
    <row r="30" spans="1:6" x14ac:dyDescent="0.2">
      <c r="A30" s="743" t="s">
        <v>476</v>
      </c>
      <c r="B30" s="744"/>
      <c r="C30" s="745"/>
      <c r="E30" s="107"/>
      <c r="F30" s="572">
        <f t="shared" si="0"/>
        <v>5</v>
      </c>
    </row>
    <row r="31" spans="1:6" x14ac:dyDescent="0.2">
      <c r="A31" s="743" t="s">
        <v>476</v>
      </c>
      <c r="B31" s="744"/>
      <c r="C31" s="745"/>
      <c r="E31" s="107"/>
      <c r="F31" s="572">
        <f t="shared" si="0"/>
        <v>6</v>
      </c>
    </row>
    <row r="32" spans="1:6" s="108" customFormat="1" x14ac:dyDescent="0.2">
      <c r="A32" s="743" t="s">
        <v>476</v>
      </c>
      <c r="B32" s="744"/>
      <c r="C32" s="745"/>
      <c r="E32" s="107"/>
      <c r="F32" s="572">
        <f t="shared" si="0"/>
        <v>7</v>
      </c>
    </row>
    <row r="33" spans="1:17" x14ac:dyDescent="0.2">
      <c r="A33" s="743" t="s">
        <v>476</v>
      </c>
      <c r="B33" s="744"/>
      <c r="C33" s="745"/>
      <c r="E33" s="107"/>
      <c r="F33" s="572">
        <f t="shared" si="0"/>
        <v>8</v>
      </c>
    </row>
    <row r="34" spans="1:17" x14ac:dyDescent="0.2">
      <c r="A34" s="743" t="s">
        <v>476</v>
      </c>
      <c r="B34" s="744"/>
      <c r="C34" s="745"/>
      <c r="E34" s="107"/>
      <c r="F34" s="572">
        <f t="shared" si="0"/>
        <v>9</v>
      </c>
    </row>
    <row r="35" spans="1:17" s="108" customFormat="1" x14ac:dyDescent="0.2">
      <c r="A35" s="743" t="s">
        <v>476</v>
      </c>
      <c r="B35" s="744"/>
      <c r="C35" s="745"/>
      <c r="E35" s="107"/>
      <c r="F35" s="572">
        <f t="shared" si="0"/>
        <v>10</v>
      </c>
    </row>
    <row r="36" spans="1:17" x14ac:dyDescent="0.2">
      <c r="A36" s="743" t="s">
        <v>476</v>
      </c>
      <c r="B36" s="744"/>
      <c r="C36" s="745"/>
      <c r="E36" s="107"/>
      <c r="F36" s="572">
        <f t="shared" si="0"/>
        <v>11</v>
      </c>
    </row>
    <row r="37" spans="1:17" x14ac:dyDescent="0.2">
      <c r="A37" s="743" t="s">
        <v>476</v>
      </c>
      <c r="B37" s="744"/>
      <c r="C37" s="745"/>
      <c r="E37" s="107"/>
      <c r="F37" s="572">
        <f t="shared" si="0"/>
        <v>12</v>
      </c>
    </row>
    <row r="38" spans="1:17" ht="13.15" customHeight="1" x14ac:dyDescent="0.2">
      <c r="A38" s="743" t="s">
        <v>476</v>
      </c>
      <c r="B38" s="744"/>
      <c r="C38" s="745"/>
      <c r="E38" s="107"/>
      <c r="F38" s="572">
        <f t="shared" si="0"/>
        <v>13</v>
      </c>
    </row>
    <row r="39" spans="1:17" x14ac:dyDescent="0.2">
      <c r="A39" s="743" t="s">
        <v>476</v>
      </c>
      <c r="B39" s="744"/>
      <c r="C39" s="745"/>
      <c r="E39" s="107"/>
      <c r="F39" s="572">
        <f t="shared" si="0"/>
        <v>14</v>
      </c>
    </row>
    <row r="40" spans="1:17" x14ac:dyDescent="0.2">
      <c r="A40" s="743" t="s">
        <v>476</v>
      </c>
      <c r="B40" s="744"/>
      <c r="C40" s="745"/>
      <c r="E40" s="107"/>
      <c r="F40" s="572">
        <f t="shared" si="0"/>
        <v>15</v>
      </c>
    </row>
    <row r="41" spans="1:17" x14ac:dyDescent="0.2">
      <c r="A41" s="743" t="s">
        <v>476</v>
      </c>
      <c r="B41" s="744"/>
      <c r="C41" s="745"/>
      <c r="E41" s="107"/>
      <c r="F41" s="572">
        <f t="shared" si="0"/>
        <v>16</v>
      </c>
    </row>
    <row r="42" spans="1:17" x14ac:dyDescent="0.2">
      <c r="A42" s="743" t="s">
        <v>476</v>
      </c>
      <c r="B42" s="744"/>
      <c r="C42" s="745"/>
      <c r="E42" s="107"/>
      <c r="F42" s="572">
        <f t="shared" si="0"/>
        <v>17</v>
      </c>
    </row>
    <row r="43" spans="1:17" ht="15" customHeight="1" x14ac:dyDescent="0.2">
      <c r="A43" s="743" t="s">
        <v>476</v>
      </c>
      <c r="B43" s="744"/>
      <c r="C43" s="745"/>
      <c r="E43" s="107"/>
      <c r="F43" s="572">
        <f t="shared" si="0"/>
        <v>18</v>
      </c>
    </row>
    <row r="44" spans="1:17" x14ac:dyDescent="0.2">
      <c r="A44" s="743" t="s">
        <v>476</v>
      </c>
      <c r="B44" s="744"/>
      <c r="C44" s="745"/>
      <c r="E44" s="107"/>
      <c r="F44" s="572">
        <f t="shared" si="0"/>
        <v>19</v>
      </c>
    </row>
    <row r="45" spans="1:17" ht="13.5" thickBot="1" x14ac:dyDescent="0.25">
      <c r="A45" s="743" t="s">
        <v>476</v>
      </c>
      <c r="B45" s="744"/>
      <c r="C45" s="745"/>
      <c r="E45" s="107"/>
    </row>
    <row r="46" spans="1:17" x14ac:dyDescent="0.2">
      <c r="A46" s="753" t="s">
        <v>139</v>
      </c>
      <c r="B46" s="754"/>
      <c r="C46" s="109">
        <v>11318.282150215</v>
      </c>
    </row>
    <row r="47" spans="1:17" x14ac:dyDescent="0.2">
      <c r="A47" s="751" t="s">
        <v>140</v>
      </c>
      <c r="B47" s="752"/>
      <c r="C47" s="110">
        <f>C46*0.22</f>
        <v>2490.0220730473002</v>
      </c>
      <c r="D47" s="95"/>
    </row>
    <row r="48" spans="1:17" ht="13.5" thickBot="1" x14ac:dyDescent="0.25">
      <c r="A48" s="755" t="s">
        <v>141</v>
      </c>
      <c r="B48" s="756"/>
      <c r="C48" s="111">
        <f>C47+C46</f>
        <v>13808.304223262301</v>
      </c>
      <c r="D48" s="95"/>
      <c r="E48" s="112"/>
      <c r="F48" s="112"/>
      <c r="G48" s="112"/>
      <c r="H48" s="112"/>
      <c r="I48" s="112"/>
      <c r="J48" s="112"/>
      <c r="K48" s="112"/>
      <c r="L48" s="112"/>
      <c r="M48" s="112"/>
      <c r="N48" s="112"/>
      <c r="O48" s="112"/>
      <c r="P48" s="112"/>
      <c r="Q48" s="112"/>
    </row>
    <row r="49" spans="1:17" ht="13.5" thickBot="1" x14ac:dyDescent="0.25">
      <c r="A49" s="113"/>
      <c r="B49" s="113"/>
      <c r="C49" s="114"/>
      <c r="D49" s="95"/>
      <c r="E49" s="112"/>
      <c r="F49" s="112"/>
      <c r="G49" s="112"/>
      <c r="H49" s="112"/>
      <c r="I49" s="112"/>
      <c r="J49" s="112"/>
      <c r="K49" s="112"/>
      <c r="L49" s="112"/>
      <c r="M49" s="112"/>
      <c r="N49" s="112"/>
      <c r="O49" s="112"/>
      <c r="P49" s="112"/>
      <c r="Q49" s="112"/>
    </row>
    <row r="50" spans="1:17" x14ac:dyDescent="0.2">
      <c r="A50" s="738" t="s">
        <v>359</v>
      </c>
      <c r="B50" s="739"/>
      <c r="C50" s="740"/>
      <c r="D50" s="95"/>
      <c r="E50" s="112"/>
      <c r="F50" s="112"/>
      <c r="G50" s="112"/>
      <c r="H50" s="112"/>
      <c r="I50" s="112"/>
      <c r="J50" s="112"/>
      <c r="K50" s="112"/>
      <c r="L50" s="112"/>
      <c r="M50" s="112"/>
      <c r="N50" s="112"/>
      <c r="O50" s="112"/>
      <c r="P50" s="112"/>
      <c r="Q50" s="112"/>
    </row>
    <row r="51" spans="1:17" x14ac:dyDescent="0.2">
      <c r="A51" s="751" t="s">
        <v>212</v>
      </c>
      <c r="B51" s="752"/>
      <c r="C51" s="115">
        <v>282224.25</v>
      </c>
      <c r="E51" s="112"/>
      <c r="F51" s="112"/>
      <c r="G51" s="112"/>
      <c r="H51" s="112"/>
      <c r="I51" s="112"/>
      <c r="J51" s="112"/>
      <c r="K51" s="112"/>
      <c r="L51" s="112"/>
      <c r="M51" s="112"/>
      <c r="N51" s="112"/>
      <c r="O51" s="112"/>
      <c r="P51" s="112"/>
      <c r="Q51" s="112"/>
    </row>
    <row r="52" spans="1:17" x14ac:dyDescent="0.2">
      <c r="A52" s="757" t="s">
        <v>218</v>
      </c>
      <c r="B52" s="758"/>
      <c r="C52" s="116">
        <v>3.7218632774968521E-2</v>
      </c>
      <c r="E52" s="112"/>
      <c r="F52" s="112"/>
      <c r="G52" s="112"/>
      <c r="H52" s="112"/>
      <c r="I52" s="112"/>
      <c r="J52" s="112"/>
      <c r="K52" s="112"/>
      <c r="L52" s="112"/>
      <c r="M52" s="112"/>
      <c r="N52" s="112"/>
      <c r="O52" s="112"/>
      <c r="P52" s="112"/>
      <c r="Q52" s="112"/>
    </row>
    <row r="53" spans="1:17" x14ac:dyDescent="0.2">
      <c r="A53" s="751" t="s">
        <v>213</v>
      </c>
      <c r="B53" s="752"/>
      <c r="C53" s="117">
        <f ca="1">IF(C51=0, 0,C13- C51)</f>
        <v>29625.75</v>
      </c>
      <c r="D53" s="118"/>
      <c r="E53" s="112"/>
      <c r="F53" s="112"/>
      <c r="G53" s="112"/>
      <c r="H53" s="112"/>
      <c r="I53" s="112"/>
      <c r="J53" s="112"/>
      <c r="K53" s="112"/>
      <c r="L53" s="112"/>
      <c r="M53" s="112"/>
      <c r="N53" s="112"/>
      <c r="O53" s="112"/>
      <c r="P53" s="112"/>
      <c r="Q53" s="112"/>
    </row>
    <row r="54" spans="1:17" x14ac:dyDescent="0.2">
      <c r="A54" s="757" t="s">
        <v>214</v>
      </c>
      <c r="B54" s="758"/>
      <c r="C54" s="141">
        <v>0</v>
      </c>
      <c r="D54" s="118"/>
      <c r="E54" s="112"/>
      <c r="F54" s="112"/>
      <c r="G54" s="112"/>
      <c r="H54" s="112"/>
      <c r="I54" s="112"/>
      <c r="J54" s="112"/>
      <c r="K54" s="112"/>
      <c r="L54" s="112"/>
      <c r="M54" s="112"/>
      <c r="N54" s="112"/>
      <c r="O54" s="112"/>
      <c r="P54" s="112"/>
      <c r="Q54" s="112"/>
    </row>
    <row r="55" spans="1:17" x14ac:dyDescent="0.2">
      <c r="A55" s="757" t="s">
        <v>215</v>
      </c>
      <c r="B55" s="758"/>
      <c r="C55" s="119">
        <f>C52*C51</f>
        <v>10504.00072094091</v>
      </c>
      <c r="E55" s="112"/>
      <c r="F55" s="112"/>
      <c r="G55" s="112"/>
      <c r="H55" s="112"/>
      <c r="I55" s="112"/>
      <c r="J55" s="112"/>
      <c r="K55" s="112"/>
      <c r="L55" s="112"/>
      <c r="M55" s="112"/>
      <c r="N55" s="112"/>
      <c r="O55" s="112"/>
      <c r="P55" s="112"/>
      <c r="Q55" s="112"/>
    </row>
    <row r="56" spans="1:17" x14ac:dyDescent="0.2">
      <c r="A56" s="577" t="s">
        <v>219</v>
      </c>
      <c r="B56" s="578"/>
      <c r="C56" s="120">
        <f ca="1">(C53+C54)*C18+C51*(C18-C52)</f>
        <v>5074.2692790590918</v>
      </c>
      <c r="E56" s="112"/>
      <c r="F56" s="112"/>
      <c r="G56" s="112"/>
      <c r="H56" s="112"/>
      <c r="I56" s="112"/>
      <c r="J56" s="112"/>
      <c r="K56" s="112"/>
      <c r="L56" s="112"/>
      <c r="M56" s="112"/>
      <c r="N56" s="112"/>
      <c r="O56" s="112"/>
      <c r="P56" s="112"/>
      <c r="Q56" s="112"/>
    </row>
    <row r="57" spans="1:17" x14ac:dyDescent="0.2">
      <c r="A57" s="577" t="s">
        <v>216</v>
      </c>
      <c r="B57" s="578"/>
      <c r="C57" s="121">
        <f ca="1">(C53+C54)/C14</f>
        <v>0.1</v>
      </c>
      <c r="E57" s="112"/>
      <c r="F57" s="112"/>
      <c r="G57" s="112"/>
      <c r="H57" s="112"/>
      <c r="I57" s="112"/>
      <c r="J57" s="112"/>
      <c r="K57" s="112"/>
      <c r="L57" s="112"/>
      <c r="M57" s="112"/>
      <c r="N57" s="112"/>
      <c r="O57" s="112"/>
      <c r="P57" s="112"/>
      <c r="Q57" s="112"/>
    </row>
    <row r="58" spans="1:17" x14ac:dyDescent="0.2">
      <c r="A58" s="122"/>
      <c r="B58" s="123"/>
      <c r="C58" s="124"/>
    </row>
    <row r="59" spans="1:17" x14ac:dyDescent="0.2">
      <c r="A59" s="751" t="s">
        <v>14</v>
      </c>
      <c r="B59" s="752"/>
      <c r="C59" s="125">
        <v>119502.20999999998</v>
      </c>
      <c r="E59" s="347"/>
    </row>
    <row r="60" spans="1:17" x14ac:dyDescent="0.2">
      <c r="A60" s="751" t="s">
        <v>142</v>
      </c>
      <c r="B60" s="752"/>
      <c r="C60" s="116">
        <f ca="1">C23</f>
        <v>0.11622013517574278</v>
      </c>
    </row>
    <row r="61" spans="1:17" x14ac:dyDescent="0.2">
      <c r="A61" s="751" t="s">
        <v>143</v>
      </c>
      <c r="B61" s="752"/>
      <c r="C61" s="117">
        <f ca="1">IF(C59=0,0,C19-C59)</f>
        <v>6289.5900000000111</v>
      </c>
      <c r="D61" s="347"/>
    </row>
    <row r="62" spans="1:17" x14ac:dyDescent="0.2">
      <c r="A62" s="751" t="s">
        <v>144</v>
      </c>
      <c r="B62" s="752"/>
      <c r="C62" s="140">
        <v>0</v>
      </c>
    </row>
    <row r="63" spans="1:17" x14ac:dyDescent="0.2">
      <c r="A63" s="751" t="s">
        <v>145</v>
      </c>
      <c r="B63" s="752"/>
      <c r="C63" s="119">
        <f ca="1">C59*C60</f>
        <v>13888.562999999998</v>
      </c>
    </row>
    <row r="64" spans="1:17" x14ac:dyDescent="0.2">
      <c r="A64" s="579" t="s">
        <v>146</v>
      </c>
      <c r="B64" s="580"/>
      <c r="C64" s="120">
        <f ca="1">(C61+C62)*C60+C59*(C23-C60)</f>
        <v>730.97700000000134</v>
      </c>
    </row>
    <row r="65" spans="1:3" x14ac:dyDescent="0.2">
      <c r="A65" s="751" t="s">
        <v>147</v>
      </c>
      <c r="B65" s="752"/>
      <c r="C65" s="121">
        <f ca="1">(C61+C62)/C19</f>
        <v>5.0000000000000093E-2</v>
      </c>
    </row>
    <row r="66" spans="1:3" x14ac:dyDescent="0.2">
      <c r="A66" s="122"/>
      <c r="B66" s="123"/>
      <c r="C66" s="124"/>
    </row>
    <row r="67" spans="1:3" x14ac:dyDescent="0.2">
      <c r="A67" s="751" t="s">
        <v>148</v>
      </c>
      <c r="B67" s="752"/>
      <c r="C67" s="126">
        <v>1E-3</v>
      </c>
    </row>
    <row r="68" spans="1:3" ht="15" x14ac:dyDescent="0.3">
      <c r="A68" s="751" t="s">
        <v>149</v>
      </c>
      <c r="B68" s="752"/>
      <c r="C68" s="600">
        <f ca="1">IF(C67=0,0,1-C67/B24)</f>
        <v>0.99999992628902079</v>
      </c>
    </row>
    <row r="69" spans="1:3" ht="15.75" thickBot="1" x14ac:dyDescent="0.35">
      <c r="A69" s="581" t="s">
        <v>150</v>
      </c>
      <c r="B69" s="582"/>
      <c r="C69" s="601">
        <f ca="1">IF(C67=0,0,C68*B24)</f>
        <v>13566.499</v>
      </c>
    </row>
    <row r="70" spans="1:3" ht="13.5" thickBot="1" x14ac:dyDescent="0.25">
      <c r="C70" s="108"/>
    </row>
    <row r="71" spans="1:3" ht="13.5" thickBot="1" x14ac:dyDescent="0.25">
      <c r="A71" s="760" t="s">
        <v>357</v>
      </c>
      <c r="B71" s="761"/>
      <c r="C71" s="127">
        <f ca="1">C56+C64+C69</f>
        <v>19371.745279059094</v>
      </c>
    </row>
    <row r="72" spans="1:3" ht="13.5" thickBot="1" x14ac:dyDescent="0.25">
      <c r="A72" s="762" t="s">
        <v>9</v>
      </c>
      <c r="B72" s="763"/>
      <c r="C72" s="128">
        <f ca="1">C91</f>
        <v>215382.56924985271</v>
      </c>
    </row>
    <row r="74" spans="1:3" x14ac:dyDescent="0.2">
      <c r="A74" s="764" t="s">
        <v>8</v>
      </c>
      <c r="B74" s="764"/>
      <c r="C74" s="764"/>
    </row>
    <row r="75" spans="1:3" x14ac:dyDescent="0.2">
      <c r="A75" s="567" t="s">
        <v>7</v>
      </c>
      <c r="B75" s="567" t="s">
        <v>6</v>
      </c>
      <c r="C75" s="567" t="s">
        <v>5</v>
      </c>
    </row>
    <row r="76" spans="1:3" x14ac:dyDescent="0.2">
      <c r="A76" s="129">
        <v>1</v>
      </c>
      <c r="B76" s="130">
        <f ca="1">$C$71</f>
        <v>19371.745279059094</v>
      </c>
      <c r="C76" s="131">
        <f t="shared" ref="C76:C90" ca="1" si="1">B76/(1+$B$93)^A76</f>
        <v>18626.678152941437</v>
      </c>
    </row>
    <row r="77" spans="1:3" x14ac:dyDescent="0.2">
      <c r="A77" s="129">
        <v>2</v>
      </c>
      <c r="B77" s="130">
        <f t="shared" ref="B77:B90" ca="1" si="2">$C$71</f>
        <v>19371.745279059094</v>
      </c>
      <c r="C77" s="131">
        <f t="shared" ca="1" si="1"/>
        <v>17910.267454751378</v>
      </c>
    </row>
    <row r="78" spans="1:3" x14ac:dyDescent="0.2">
      <c r="A78" s="129">
        <v>3</v>
      </c>
      <c r="B78" s="130">
        <f t="shared" ca="1" si="2"/>
        <v>19371.745279059094</v>
      </c>
      <c r="C78" s="131">
        <f t="shared" ca="1" si="1"/>
        <v>17221.411014184021</v>
      </c>
    </row>
    <row r="79" spans="1:3" x14ac:dyDescent="0.2">
      <c r="A79" s="129">
        <v>4</v>
      </c>
      <c r="B79" s="130">
        <f t="shared" ca="1" si="2"/>
        <v>19371.745279059094</v>
      </c>
      <c r="C79" s="131">
        <f t="shared" ca="1" si="1"/>
        <v>16559.049052100017</v>
      </c>
    </row>
    <row r="80" spans="1:3" x14ac:dyDescent="0.2">
      <c r="A80" s="129">
        <v>5</v>
      </c>
      <c r="B80" s="130">
        <f t="shared" ca="1" si="2"/>
        <v>19371.745279059094</v>
      </c>
      <c r="C80" s="131">
        <f t="shared" ca="1" si="1"/>
        <v>15922.162550096169</v>
      </c>
    </row>
    <row r="81" spans="1:3" x14ac:dyDescent="0.2">
      <c r="A81" s="129">
        <v>6</v>
      </c>
      <c r="B81" s="130">
        <f t="shared" ca="1" si="2"/>
        <v>19371.745279059094</v>
      </c>
      <c r="C81" s="131">
        <f t="shared" ca="1" si="1"/>
        <v>15309.771682784778</v>
      </c>
    </row>
    <row r="82" spans="1:3" x14ac:dyDescent="0.2">
      <c r="A82" s="129">
        <v>7</v>
      </c>
      <c r="B82" s="130">
        <f t="shared" ca="1" si="2"/>
        <v>19371.745279059094</v>
      </c>
      <c r="C82" s="131">
        <f t="shared" ca="1" si="1"/>
        <v>14720.934310369979</v>
      </c>
    </row>
    <row r="83" spans="1:3" x14ac:dyDescent="0.2">
      <c r="A83" s="129">
        <v>8</v>
      </c>
      <c r="B83" s="130">
        <f t="shared" ca="1" si="2"/>
        <v>19371.745279059094</v>
      </c>
      <c r="C83" s="131">
        <f t="shared" ca="1" si="1"/>
        <v>14154.7445292019</v>
      </c>
    </row>
    <row r="84" spans="1:3" x14ac:dyDescent="0.2">
      <c r="A84" s="129">
        <v>9</v>
      </c>
      <c r="B84" s="130">
        <f t="shared" ca="1" si="2"/>
        <v>19371.745279059094</v>
      </c>
      <c r="C84" s="131">
        <f t="shared" ca="1" si="1"/>
        <v>13610.331278078749</v>
      </c>
    </row>
    <row r="85" spans="1:3" x14ac:dyDescent="0.2">
      <c r="A85" s="129">
        <v>10</v>
      </c>
      <c r="B85" s="130">
        <f t="shared" ca="1" si="2"/>
        <v>19371.745279059094</v>
      </c>
      <c r="C85" s="131">
        <f t="shared" ca="1" si="1"/>
        <v>13086.856998152643</v>
      </c>
    </row>
    <row r="86" spans="1:3" x14ac:dyDescent="0.2">
      <c r="A86" s="129">
        <v>11</v>
      </c>
      <c r="B86" s="130">
        <f t="shared" ca="1" si="2"/>
        <v>19371.745279059094</v>
      </c>
      <c r="C86" s="131">
        <f t="shared" ca="1" si="1"/>
        <v>12583.516344377544</v>
      </c>
    </row>
    <row r="87" spans="1:3" x14ac:dyDescent="0.2">
      <c r="A87" s="129">
        <v>12</v>
      </c>
      <c r="B87" s="130">
        <f t="shared" ca="1" si="2"/>
        <v>19371.745279059094</v>
      </c>
      <c r="C87" s="131">
        <f t="shared" ca="1" si="1"/>
        <v>12099.534946516866</v>
      </c>
    </row>
    <row r="88" spans="1:3" x14ac:dyDescent="0.2">
      <c r="A88" s="129">
        <v>13</v>
      </c>
      <c r="B88" s="130">
        <f t="shared" ca="1" si="2"/>
        <v>19371.745279059094</v>
      </c>
      <c r="C88" s="131">
        <f t="shared" ca="1" si="1"/>
        <v>11634.168217804678</v>
      </c>
    </row>
    <row r="89" spans="1:3" x14ac:dyDescent="0.2">
      <c r="A89" s="129">
        <v>14</v>
      </c>
      <c r="B89" s="130">
        <f t="shared" ca="1" si="2"/>
        <v>19371.745279059094</v>
      </c>
      <c r="C89" s="131">
        <f t="shared" ca="1" si="1"/>
        <v>11186.700209427576</v>
      </c>
    </row>
    <row r="90" spans="1:3" x14ac:dyDescent="0.2">
      <c r="A90" s="129">
        <v>15</v>
      </c>
      <c r="B90" s="130">
        <f t="shared" ca="1" si="2"/>
        <v>19371.745279059094</v>
      </c>
      <c r="C90" s="131">
        <f t="shared" ca="1" si="1"/>
        <v>10756.442509064977</v>
      </c>
    </row>
    <row r="91" spans="1:3" x14ac:dyDescent="0.2">
      <c r="A91" s="759" t="s">
        <v>4</v>
      </c>
      <c r="B91" s="759"/>
      <c r="C91" s="132">
        <f ca="1">SUM(C76:C90)</f>
        <v>215382.56924985271</v>
      </c>
    </row>
    <row r="93" spans="1:3" x14ac:dyDescent="0.2">
      <c r="A93" s="133" t="s">
        <v>3</v>
      </c>
      <c r="B93" s="134">
        <v>0.04</v>
      </c>
    </row>
    <row r="95" spans="1:3" x14ac:dyDescent="0.2">
      <c r="A95" s="91" t="s">
        <v>151</v>
      </c>
    </row>
    <row r="97" spans="1:5" ht="43.5" customHeight="1" x14ac:dyDescent="0.2">
      <c r="A97" s="135" t="s">
        <v>240</v>
      </c>
      <c r="B97" s="136" t="s">
        <v>152</v>
      </c>
      <c r="C97" s="136" t="s">
        <v>217</v>
      </c>
      <c r="D97" s="136" t="s">
        <v>230</v>
      </c>
    </row>
    <row r="98" spans="1:5" x14ac:dyDescent="0.2">
      <c r="A98" s="137" t="s">
        <v>153</v>
      </c>
      <c r="B98" s="422">
        <v>0.8</v>
      </c>
      <c r="C98" s="394">
        <f t="shared" ref="C98:C103" si="3">B98*$C$51</f>
        <v>225779.40000000002</v>
      </c>
      <c r="D98" s="138">
        <v>80635.500000000015</v>
      </c>
      <c r="E98" s="139"/>
    </row>
    <row r="99" spans="1:5" x14ac:dyDescent="0.2">
      <c r="A99" s="137" t="s">
        <v>257</v>
      </c>
      <c r="B99" s="422">
        <v>0</v>
      </c>
      <c r="C99" s="394">
        <f t="shared" si="3"/>
        <v>0</v>
      </c>
      <c r="D99" s="138">
        <v>0</v>
      </c>
    </row>
    <row r="100" spans="1:5" x14ac:dyDescent="0.2">
      <c r="A100" s="137" t="s">
        <v>96</v>
      </c>
      <c r="B100" s="422">
        <v>0</v>
      </c>
      <c r="C100" s="394">
        <f t="shared" si="3"/>
        <v>0</v>
      </c>
      <c r="D100" s="138">
        <v>0</v>
      </c>
    </row>
    <row r="101" spans="1:5" s="112" customFormat="1" x14ac:dyDescent="0.2">
      <c r="A101" s="137" t="s">
        <v>340</v>
      </c>
      <c r="B101" s="422">
        <v>0</v>
      </c>
      <c r="C101" s="394">
        <f t="shared" si="3"/>
        <v>0</v>
      </c>
      <c r="D101" s="138">
        <v>0</v>
      </c>
    </row>
    <row r="102" spans="1:5" x14ac:dyDescent="0.2">
      <c r="A102" s="137" t="s">
        <v>154</v>
      </c>
      <c r="B102" s="422">
        <v>0.2</v>
      </c>
      <c r="C102" s="394">
        <f t="shared" si="3"/>
        <v>56444.850000000006</v>
      </c>
      <c r="D102" s="138">
        <v>62716.500000000007</v>
      </c>
    </row>
    <row r="103" spans="1:5" x14ac:dyDescent="0.2">
      <c r="A103" s="137" t="s">
        <v>341</v>
      </c>
      <c r="B103" s="422">
        <v>0</v>
      </c>
      <c r="C103" s="394">
        <f t="shared" si="3"/>
        <v>0</v>
      </c>
      <c r="D103" s="138">
        <v>0</v>
      </c>
    </row>
    <row r="104" spans="1:5" x14ac:dyDescent="0.2">
      <c r="A104" s="135" t="s">
        <v>5</v>
      </c>
      <c r="B104" s="423">
        <f>SUM(B98:B103)</f>
        <v>1</v>
      </c>
      <c r="C104" s="424">
        <f>SUM(C98:C103)</f>
        <v>282224.25</v>
      </c>
      <c r="D104" s="424">
        <f>SUM(D98:D103)</f>
        <v>143352.00000000003</v>
      </c>
    </row>
    <row r="106" spans="1:5" ht="25.5" x14ac:dyDescent="0.2">
      <c r="A106" s="573" t="s">
        <v>342</v>
      </c>
      <c r="B106" s="136" t="s">
        <v>343</v>
      </c>
      <c r="C106" s="136" t="s">
        <v>344</v>
      </c>
    </row>
    <row r="107" spans="1:5" x14ac:dyDescent="0.2">
      <c r="A107" s="137" t="s">
        <v>345</v>
      </c>
      <c r="B107" s="574">
        <v>0</v>
      </c>
      <c r="C107" s="574">
        <v>3000</v>
      </c>
    </row>
    <row r="108" spans="1:5" x14ac:dyDescent="0.2">
      <c r="A108" s="137" t="s">
        <v>346</v>
      </c>
      <c r="B108" s="574">
        <v>0</v>
      </c>
      <c r="C108" s="574">
        <v>2500</v>
      </c>
    </row>
  </sheetData>
  <mergeCells count="48">
    <mergeCell ref="A91:B91"/>
    <mergeCell ref="A65:B65"/>
    <mergeCell ref="A67:B67"/>
    <mergeCell ref="A68:B68"/>
    <mergeCell ref="A71:B71"/>
    <mergeCell ref="A72:B72"/>
    <mergeCell ref="A74:C74"/>
    <mergeCell ref="A63:B63"/>
    <mergeCell ref="A48:B48"/>
    <mergeCell ref="A50:C50"/>
    <mergeCell ref="A51:B51"/>
    <mergeCell ref="A52:B52"/>
    <mergeCell ref="A53:B53"/>
    <mergeCell ref="A54:B54"/>
    <mergeCell ref="A55:B55"/>
    <mergeCell ref="A59:B59"/>
    <mergeCell ref="A60:B60"/>
    <mergeCell ref="A61:B61"/>
    <mergeCell ref="A62:B62"/>
    <mergeCell ref="A47:B47"/>
    <mergeCell ref="A36:C36"/>
    <mergeCell ref="A37:C37"/>
    <mergeCell ref="A38:C38"/>
    <mergeCell ref="A39:C39"/>
    <mergeCell ref="A40:C40"/>
    <mergeCell ref="A41:C41"/>
    <mergeCell ref="A42:C42"/>
    <mergeCell ref="A43:C43"/>
    <mergeCell ref="A44:C44"/>
    <mergeCell ref="A45:C45"/>
    <mergeCell ref="A46:B46"/>
    <mergeCell ref="A35:C35"/>
    <mergeCell ref="B8:C8"/>
    <mergeCell ref="A10:C10"/>
    <mergeCell ref="A26:C26"/>
    <mergeCell ref="A28:C28"/>
    <mergeCell ref="A29:C29"/>
    <mergeCell ref="A30:C30"/>
    <mergeCell ref="A31:C31"/>
    <mergeCell ref="A32:C32"/>
    <mergeCell ref="A33:C33"/>
    <mergeCell ref="A34:C34"/>
    <mergeCell ref="B7:C7"/>
    <mergeCell ref="A1:B1"/>
    <mergeCell ref="A3:C3"/>
    <mergeCell ref="B4:C4"/>
    <mergeCell ref="B5:C5"/>
    <mergeCell ref="B6:C6"/>
  </mergeCells>
  <conditionalFormatting sqref="C68">
    <cfRule type="cellIs" dxfId="14" priority="1" operator="lessThan">
      <formula>0</formula>
    </cfRule>
  </conditionalFormatting>
  <pageMargins left="0.70866141732283472" right="0.70866141732283472" top="0.74803149606299213" bottom="0.74803149606299213" header="0.31496062992125984" footer="0.31496062992125984"/>
  <pageSetup paperSize="9" scale="43" fitToHeight="0" orientation="portrait" r:id="rId1"/>
  <headerFooter>
    <oddFooter>&amp;L&amp;A&amp;R&amp;P/&amp;N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M12"/>
  <sheetViews>
    <sheetView tabSelected="1" zoomScale="90" zoomScaleNormal="90" workbookViewId="0">
      <selection activeCell="K5" sqref="K5"/>
    </sheetView>
  </sheetViews>
  <sheetFormatPr defaultRowHeight="15" x14ac:dyDescent="0.25"/>
  <cols>
    <col min="3" max="8" width="19.42578125" customWidth="1"/>
    <col min="9" max="9" width="12.5703125" customWidth="1"/>
    <col min="10" max="10" width="17.140625" customWidth="1"/>
    <col min="11" max="11" width="20.28515625" customWidth="1"/>
    <col min="12" max="12" width="19.42578125" customWidth="1"/>
    <col min="13" max="13" width="22.85546875" customWidth="1"/>
  </cols>
  <sheetData>
    <row r="1" spans="1:13" ht="18" x14ac:dyDescent="0.25">
      <c r="A1" s="767" t="s">
        <v>77</v>
      </c>
      <c r="B1" s="767"/>
      <c r="C1" s="767"/>
      <c r="D1" s="767"/>
      <c r="E1" s="767"/>
      <c r="F1" s="767"/>
      <c r="G1" s="767"/>
      <c r="H1" s="767"/>
      <c r="I1" s="767"/>
      <c r="J1" s="767"/>
      <c r="K1" s="767"/>
      <c r="L1" s="767"/>
      <c r="M1" s="767"/>
    </row>
    <row r="2" spans="1:13" ht="15.75" x14ac:dyDescent="0.3">
      <c r="A2" s="31"/>
      <c r="B2" s="31"/>
      <c r="C2" s="29"/>
      <c r="D2" s="29"/>
      <c r="E2" s="29"/>
      <c r="F2" s="29"/>
      <c r="G2" s="29"/>
      <c r="H2" s="29"/>
      <c r="I2" s="29"/>
      <c r="J2" s="29"/>
      <c r="K2" s="29"/>
      <c r="L2" s="29"/>
      <c r="M2" s="29"/>
    </row>
    <row r="3" spans="1:13" ht="50.25" customHeight="1" x14ac:dyDescent="0.3">
      <c r="A3" s="31"/>
      <c r="B3" s="31"/>
      <c r="C3" s="733" t="s">
        <v>39</v>
      </c>
      <c r="D3" s="768"/>
      <c r="E3" s="734"/>
      <c r="F3" s="731" t="s">
        <v>38</v>
      </c>
      <c r="G3" s="731"/>
      <c r="H3" s="731"/>
      <c r="I3" s="733" t="s">
        <v>84</v>
      </c>
      <c r="J3" s="734"/>
      <c r="K3" s="765" t="s">
        <v>417</v>
      </c>
      <c r="L3" s="732" t="s">
        <v>356</v>
      </c>
      <c r="M3" s="732" t="s">
        <v>416</v>
      </c>
    </row>
    <row r="4" spans="1:13" x14ac:dyDescent="0.25">
      <c r="A4" s="45" t="s">
        <v>35</v>
      </c>
      <c r="B4" s="44" t="s">
        <v>34</v>
      </c>
      <c r="C4" s="576" t="s">
        <v>23</v>
      </c>
      <c r="D4" s="576" t="s">
        <v>33</v>
      </c>
      <c r="E4" s="576" t="s">
        <v>21</v>
      </c>
      <c r="F4" s="576" t="s">
        <v>23</v>
      </c>
      <c r="G4" s="576" t="s">
        <v>33</v>
      </c>
      <c r="H4" s="576" t="s">
        <v>21</v>
      </c>
      <c r="I4" s="576" t="s">
        <v>33</v>
      </c>
      <c r="J4" s="576" t="s">
        <v>21</v>
      </c>
      <c r="K4" s="766"/>
      <c r="L4" s="732"/>
      <c r="M4" s="732"/>
    </row>
    <row r="5" spans="1:13" ht="15.75" x14ac:dyDescent="0.3">
      <c r="A5" s="6">
        <v>10</v>
      </c>
      <c r="B5" s="40" t="s">
        <v>426</v>
      </c>
      <c r="C5" s="584">
        <f ca="1">'OB10'!$C$54+'OB10'!$C$53</f>
        <v>2728.3085057279968</v>
      </c>
      <c r="D5" s="586">
        <f ca="1">'OB10'!$C$57</f>
        <v>4.9399999999999937E-2</v>
      </c>
      <c r="E5" s="585">
        <f ca="1">'OB10'!$C$56</f>
        <v>3947.638382948966</v>
      </c>
      <c r="F5" s="584">
        <f ca="1">'OB10'!$C$61+'OB10'!$C$62</f>
        <v>21273.94853191248</v>
      </c>
      <c r="G5" s="587">
        <f ca="1">'OB10'!$C$65</f>
        <v>0.66647708433309771</v>
      </c>
      <c r="H5" s="588">
        <f ca="1">'OB10'!$C$64</f>
        <v>2258.3753729849504</v>
      </c>
      <c r="I5" s="597">
        <f ca="1">'OB10'!$C$68</f>
        <v>0.99999940758293837</v>
      </c>
      <c r="J5" s="585">
        <f ca="1">'OB10'!$C$69</f>
        <v>1687.999</v>
      </c>
      <c r="K5" s="585">
        <f>'OB10'!$C$46</f>
        <v>94666.4068478033</v>
      </c>
      <c r="L5" s="36">
        <f t="shared" ref="L5:L10" ca="1" si="0">E5+H5+J5</f>
        <v>7894.0127559339162</v>
      </c>
      <c r="M5" s="585">
        <f ca="1">'OB10'!$C$91</f>
        <v>87768.692214950453</v>
      </c>
    </row>
    <row r="6" spans="1:13" ht="15.75" x14ac:dyDescent="0.3">
      <c r="A6" s="6">
        <v>12</v>
      </c>
      <c r="B6" s="40" t="s">
        <v>250</v>
      </c>
      <c r="C6" s="584">
        <f ca="1">'OB12'!$C$54+'OB12'!$C$53</f>
        <v>28889.300769852707</v>
      </c>
      <c r="D6" s="586">
        <f ca="1">'OB12'!$C$57</f>
        <v>0.11832287640449445</v>
      </c>
      <c r="E6" s="585">
        <f ca="1">'OB12'!$C$56</f>
        <v>4816.0949726471626</v>
      </c>
      <c r="F6" s="584">
        <f ca="1">'OB12'!$C$61+'OB12'!$C$62</f>
        <v>117379.28659101724</v>
      </c>
      <c r="G6" s="587">
        <f ca="1">'OB12'!$C$65</f>
        <v>1.0264374986097557</v>
      </c>
      <c r="H6" s="588">
        <f ca="1">'OB12'!$C$64</f>
        <v>13950.051061606793</v>
      </c>
      <c r="I6" s="597">
        <f ca="1">'OB12'!$C$68</f>
        <v>0.99999991958829204</v>
      </c>
      <c r="J6" s="585">
        <f ca="1">'OB12'!$C$69</f>
        <v>12435.999</v>
      </c>
      <c r="K6" s="585">
        <f>'OB12'!$C$46</f>
        <v>162373.01196971873</v>
      </c>
      <c r="L6" s="36">
        <f t="shared" ca="1" si="0"/>
        <v>31202.145034253957</v>
      </c>
      <c r="M6" s="585">
        <f ca="1">'OB12'!$C$91</f>
        <v>346917.53720553609</v>
      </c>
    </row>
    <row r="7" spans="1:13" ht="15.75" x14ac:dyDescent="0.3">
      <c r="A7" s="6">
        <v>13</v>
      </c>
      <c r="B7" s="40" t="s">
        <v>251</v>
      </c>
      <c r="C7" s="584">
        <f ca="1">'OB13'!$C$54+'OB13'!$C$53</f>
        <v>10524.571200000006</v>
      </c>
      <c r="D7" s="586">
        <f ca="1">'OB13'!$C$57</f>
        <v>3.000000000000002E-2</v>
      </c>
      <c r="E7" s="585">
        <f ca="1">'OB13'!$C$56</f>
        <v>2919.9988037078865</v>
      </c>
      <c r="F7" s="584">
        <f ca="1">'OB13'!$C$61+'OB13'!$C$62</f>
        <v>49064.999999999985</v>
      </c>
      <c r="G7" s="587">
        <f ca="1">'OB13'!$C$65</f>
        <v>0.45232557017544112</v>
      </c>
      <c r="H7" s="588">
        <f ca="1">'OB13'!$C$64</f>
        <v>5002.121559133142</v>
      </c>
      <c r="I7" s="597">
        <f ca="1">'OB13'!$C$68</f>
        <v>0.99999979757085022</v>
      </c>
      <c r="J7" s="585">
        <f ca="1">'OB13'!$C$69</f>
        <v>4939.9989999999998</v>
      </c>
      <c r="K7" s="585">
        <f>'OB13'!$C$46</f>
        <v>47542.716687325003</v>
      </c>
      <c r="L7" s="36">
        <f t="shared" ca="1" si="0"/>
        <v>12862.119362841029</v>
      </c>
      <c r="M7" s="585">
        <f ca="1">'OB13'!$C$91</f>
        <v>143006.0262748579</v>
      </c>
    </row>
    <row r="8" spans="1:13" ht="15.75" x14ac:dyDescent="0.3">
      <c r="A8" s="6">
        <v>14</v>
      </c>
      <c r="B8" s="40" t="s">
        <v>252</v>
      </c>
      <c r="C8" s="584">
        <f ca="1">'OB14'!$C$54+'OB14'!$C$53</f>
        <v>5735.9776623809012</v>
      </c>
      <c r="D8" s="586">
        <f ca="1">'OB14'!$C$57</f>
        <v>3.9699999999999867E-2</v>
      </c>
      <c r="E8" s="585">
        <f ca="1">'OB14'!$C$56</f>
        <v>1598.9586967113671</v>
      </c>
      <c r="F8" s="584">
        <f ca="1">'OB14'!$C$61+'OB14'!$C$62</f>
        <v>49272.12230594999</v>
      </c>
      <c r="G8" s="587">
        <f ca="1">'OB14'!$C$65</f>
        <v>0.37694121571209255</v>
      </c>
      <c r="H8" s="588">
        <f ca="1">'OB14'!$C$64</f>
        <v>5311.58265961091</v>
      </c>
      <c r="I8" s="597">
        <f ca="1">'OB14'!$C$68</f>
        <v>0.99999977137631457</v>
      </c>
      <c r="J8" s="585">
        <f ca="1">'OB14'!$C$69</f>
        <v>4373.9989999999998</v>
      </c>
      <c r="K8" s="585">
        <f>'OB14'!$C$46</f>
        <v>67544.587541837507</v>
      </c>
      <c r="L8" s="36">
        <f t="shared" ca="1" si="0"/>
        <v>11284.540356322277</v>
      </c>
      <c r="M8" s="585">
        <f ca="1">'OB14'!$C$91</f>
        <v>125465.89167552754</v>
      </c>
    </row>
    <row r="9" spans="1:13" ht="15.75" x14ac:dyDescent="0.3">
      <c r="A9" s="6">
        <v>15</v>
      </c>
      <c r="B9" s="40" t="s">
        <v>253</v>
      </c>
      <c r="C9" s="584">
        <f>'OB15'!$C$54+'OB15'!$C$53</f>
        <v>0</v>
      </c>
      <c r="D9" s="586">
        <f ca="1">'OB15'!$C$57</f>
        <v>0</v>
      </c>
      <c r="E9" s="585">
        <f ca="1">'OB15'!$C$56</f>
        <v>0</v>
      </c>
      <c r="F9" s="584">
        <f>'OB15'!$C$61+'OB15'!$C$62</f>
        <v>0</v>
      </c>
      <c r="G9" s="587">
        <f ca="1">'OB15'!$C$65</f>
        <v>0</v>
      </c>
      <c r="H9" s="588">
        <f ca="1">'OB15'!$C$64</f>
        <v>0</v>
      </c>
      <c r="I9" s="597">
        <f ca="1">'OB15'!$C$68</f>
        <v>0.99999992637964541</v>
      </c>
      <c r="J9" s="585"/>
      <c r="K9" s="585">
        <f>'OB15'!$C$46</f>
        <v>0</v>
      </c>
      <c r="L9" s="36">
        <f t="shared" ca="1" si="0"/>
        <v>0</v>
      </c>
      <c r="M9" s="585"/>
    </row>
    <row r="10" spans="1:13" ht="15.75" x14ac:dyDescent="0.3">
      <c r="A10" s="6">
        <v>16</v>
      </c>
      <c r="B10" s="40" t="s">
        <v>254</v>
      </c>
      <c r="C10" s="584">
        <f ca="1">'OB16'!$C$54+'OB16'!$C$53</f>
        <v>29625.75</v>
      </c>
      <c r="D10" s="586">
        <f ca="1">'OB16'!$C$57</f>
        <v>0.1</v>
      </c>
      <c r="E10" s="585">
        <f ca="1">'OB16'!$C$56</f>
        <v>5074.2692790590918</v>
      </c>
      <c r="F10" s="584">
        <f ca="1">'OB16'!$C$61+'OB16'!$C$62</f>
        <v>6289.5900000000111</v>
      </c>
      <c r="G10" s="587">
        <f ca="1">'OB16'!$C$65</f>
        <v>5.0000000000000093E-2</v>
      </c>
      <c r="H10" s="588">
        <f ca="1">'OB16'!$C$64</f>
        <v>730.97700000000134</v>
      </c>
      <c r="I10" s="597">
        <f ca="1">'OB16'!$C$68</f>
        <v>0.99999992628902079</v>
      </c>
      <c r="J10" s="585">
        <f ca="1">'OB16'!$C$69</f>
        <v>13566.499</v>
      </c>
      <c r="K10" s="585">
        <f>'OB16'!$C$46</f>
        <v>11318.282150215</v>
      </c>
      <c r="L10" s="36">
        <f t="shared" ca="1" si="0"/>
        <v>19371.745279059094</v>
      </c>
      <c r="M10" s="585">
        <f ca="1">'OB16'!$C$91</f>
        <v>215382.56924985271</v>
      </c>
    </row>
    <row r="11" spans="1:13" x14ac:dyDescent="0.25">
      <c r="A11" s="729" t="s">
        <v>5</v>
      </c>
      <c r="B11" s="729"/>
      <c r="C11" s="34">
        <f ca="1">SUM(C5:C10)</f>
        <v>77503.908137961611</v>
      </c>
      <c r="D11" s="35">
        <f ca="1">E11/C11</f>
        <v>0.23685205786523666</v>
      </c>
      <c r="E11" s="32">
        <f ca="1">SUM(E5:E10)</f>
        <v>18356.960135074471</v>
      </c>
      <c r="F11" s="34">
        <f ca="1">SUM(F5:F10)</f>
        <v>243279.94742887974</v>
      </c>
      <c r="G11" s="598">
        <f ca="1">H11/F11</f>
        <v>0.11202364987892374</v>
      </c>
      <c r="H11" s="589">
        <f ca="1">SUM(H5:H10)</f>
        <v>27253.107653335799</v>
      </c>
      <c r="I11" s="599">
        <f ca="1">AVERAGE(I5:I10)</f>
        <v>0.99999979146451023</v>
      </c>
      <c r="J11" s="589">
        <f ca="1">SUM(J5:J10)</f>
        <v>37004.494999999995</v>
      </c>
      <c r="K11" s="589">
        <f>SUM(K5:K10)</f>
        <v>383445.00519689952</v>
      </c>
      <c r="L11" s="32">
        <f ca="1">SUM(L5:L10)</f>
        <v>82614.562788410272</v>
      </c>
      <c r="M11" s="32">
        <f ca="1">SUM(M5:M10)</f>
        <v>918540.71662072465</v>
      </c>
    </row>
    <row r="12" spans="1:13" ht="15.75" x14ac:dyDescent="0.3">
      <c r="A12" s="31"/>
      <c r="B12" s="31"/>
      <c r="C12" s="29"/>
      <c r="D12" s="29"/>
      <c r="E12" s="29"/>
      <c r="F12" s="29"/>
      <c r="G12" s="29"/>
      <c r="H12" s="29"/>
      <c r="I12" s="29"/>
      <c r="J12" s="29"/>
      <c r="K12" s="29"/>
      <c r="L12" s="29"/>
      <c r="M12" s="29"/>
    </row>
  </sheetData>
  <mergeCells count="8">
    <mergeCell ref="A11:B11"/>
    <mergeCell ref="K3:K4"/>
    <mergeCell ref="A1:M1"/>
    <mergeCell ref="C3:E3"/>
    <mergeCell ref="F3:H3"/>
    <mergeCell ref="I3:J3"/>
    <mergeCell ref="L3:L4"/>
    <mergeCell ref="M3:M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pageSetUpPr fitToPage="1"/>
  </sheetPr>
  <dimension ref="A1:AQ38"/>
  <sheetViews>
    <sheetView zoomScale="70" zoomScaleNormal="70" workbookViewId="0">
      <selection activeCell="J37" sqref="J37"/>
    </sheetView>
  </sheetViews>
  <sheetFormatPr defaultColWidth="9" defaultRowHeight="15" x14ac:dyDescent="0.25"/>
  <cols>
    <col min="1" max="1" width="3.140625" style="246" customWidth="1"/>
    <col min="2" max="2" width="10.140625" style="246" customWidth="1"/>
    <col min="3" max="3" width="12.42578125" style="246" customWidth="1"/>
    <col min="4" max="4" width="40.85546875" style="246" customWidth="1"/>
    <col min="5" max="5" width="13.140625" style="246" customWidth="1"/>
    <col min="6" max="6" width="11.85546875" style="246" customWidth="1"/>
    <col min="7" max="8" width="16.7109375" style="246" customWidth="1"/>
    <col min="9" max="9" width="13.85546875" style="246" customWidth="1"/>
    <col min="10" max="10" width="26.28515625" style="146" customWidth="1"/>
    <col min="11" max="12" width="13.28515625" style="146" customWidth="1"/>
    <col min="13" max="13" width="15" style="146" customWidth="1"/>
    <col min="14" max="14" width="13" style="146" customWidth="1"/>
    <col min="15" max="15" width="13.28515625" style="146" customWidth="1"/>
    <col min="16" max="16" width="15.28515625" style="146" customWidth="1"/>
    <col min="17" max="17" width="13" style="146" customWidth="1"/>
    <col min="18" max="18" width="13.28515625" style="146" customWidth="1"/>
    <col min="19" max="19" width="15.28515625" style="146" customWidth="1"/>
    <col min="20" max="20" width="17.7109375" style="146" customWidth="1"/>
    <col min="21" max="21" width="12" style="146" customWidth="1"/>
    <col min="22" max="22" width="17.42578125" style="146" customWidth="1"/>
    <col min="23" max="23" width="15.140625" style="146" bestFit="1" customWidth="1"/>
    <col min="24" max="24" width="18.28515625" style="146" customWidth="1"/>
    <col min="25" max="25" width="12.28515625" style="146" customWidth="1"/>
    <col min="26" max="26" width="14.85546875" style="146" customWidth="1"/>
    <col min="27" max="27" width="14.28515625" style="146" customWidth="1"/>
    <col min="28" max="28" width="13.85546875" style="146" customWidth="1"/>
    <col min="29" max="30" width="15.7109375" style="146" customWidth="1"/>
    <col min="31" max="31" width="13.7109375" style="146" customWidth="1"/>
    <col min="32" max="32" width="13.28515625" style="146" customWidth="1"/>
    <col min="33" max="34" width="13" style="146" customWidth="1"/>
    <col min="35" max="36" width="13.28515625" style="146" customWidth="1"/>
    <col min="37" max="38" width="15.7109375" style="146" customWidth="1"/>
    <col min="39" max="39" width="14.7109375" style="146" customWidth="1"/>
    <col min="40" max="40" width="17" style="146" customWidth="1"/>
    <col min="41" max="41" width="18" style="146" customWidth="1"/>
    <col min="42" max="16384" width="9" style="147"/>
  </cols>
  <sheetData>
    <row r="1" spans="1:43" ht="18" x14ac:dyDescent="0.25">
      <c r="A1" s="145" t="s">
        <v>57</v>
      </c>
      <c r="B1" s="145"/>
      <c r="C1" s="145"/>
      <c r="D1" s="145"/>
      <c r="E1" s="145"/>
      <c r="F1" s="145"/>
      <c r="G1" s="145"/>
      <c r="H1" s="145"/>
      <c r="I1" s="145"/>
      <c r="J1" s="145"/>
      <c r="K1" s="145"/>
      <c r="L1" s="145"/>
      <c r="M1" s="145"/>
      <c r="N1" s="145"/>
      <c r="O1" s="145"/>
      <c r="P1" s="145"/>
      <c r="Q1" s="145"/>
      <c r="R1" s="145"/>
      <c r="S1" s="145"/>
      <c r="T1" s="145"/>
      <c r="U1" s="145"/>
      <c r="V1" s="145"/>
      <c r="W1" s="145"/>
    </row>
    <row r="2" spans="1:43" s="149" customFormat="1" ht="18.75" thickBot="1" x14ac:dyDescent="0.3">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row>
    <row r="3" spans="1:43" ht="18.75" thickBot="1" x14ac:dyDescent="0.3">
      <c r="A3" s="150" t="s">
        <v>46</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2"/>
    </row>
    <row r="4" spans="1:43" ht="15" customHeight="1" x14ac:dyDescent="0.25">
      <c r="A4" s="782" t="s">
        <v>35</v>
      </c>
      <c r="B4" s="784" t="s">
        <v>45</v>
      </c>
      <c r="C4" s="786" t="s">
        <v>155</v>
      </c>
      <c r="D4" s="789" t="s">
        <v>156</v>
      </c>
      <c r="E4" s="816" t="s">
        <v>44</v>
      </c>
      <c r="F4" s="817"/>
      <c r="G4" s="817"/>
      <c r="H4" s="817"/>
      <c r="I4" s="817"/>
      <c r="J4" s="817"/>
      <c r="K4" s="817"/>
      <c r="L4" s="817"/>
      <c r="M4" s="817"/>
      <c r="N4" s="817"/>
      <c r="O4" s="817"/>
      <c r="P4" s="817"/>
      <c r="Q4" s="817"/>
      <c r="R4" s="817"/>
      <c r="S4" s="817"/>
      <c r="T4" s="817"/>
      <c r="U4" s="817"/>
      <c r="V4" s="817"/>
      <c r="W4" s="818"/>
      <c r="X4" s="790" t="s">
        <v>43</v>
      </c>
      <c r="Y4" s="791"/>
      <c r="Z4" s="791"/>
      <c r="AA4" s="791"/>
      <c r="AB4" s="791"/>
      <c r="AC4" s="791"/>
      <c r="AD4" s="791"/>
      <c r="AE4" s="791"/>
      <c r="AF4" s="791"/>
      <c r="AG4" s="791"/>
      <c r="AH4" s="791"/>
      <c r="AI4" s="791"/>
      <c r="AJ4" s="791"/>
      <c r="AK4" s="791"/>
      <c r="AL4" s="791"/>
      <c r="AM4" s="791"/>
      <c r="AN4" s="792"/>
      <c r="AO4" s="804" t="s">
        <v>42</v>
      </c>
    </row>
    <row r="5" spans="1:43" ht="45" customHeight="1" x14ac:dyDescent="0.25">
      <c r="A5" s="783"/>
      <c r="B5" s="785"/>
      <c r="C5" s="787"/>
      <c r="D5" s="789"/>
      <c r="E5" s="795" t="s">
        <v>237</v>
      </c>
      <c r="F5" s="795" t="s">
        <v>239</v>
      </c>
      <c r="G5" s="795" t="s">
        <v>238</v>
      </c>
      <c r="H5" s="795" t="s">
        <v>157</v>
      </c>
      <c r="I5" s="153"/>
      <c r="J5" s="797" t="s">
        <v>235</v>
      </c>
      <c r="K5" s="802"/>
      <c r="L5" s="802"/>
      <c r="M5" s="802"/>
      <c r="N5" s="802"/>
      <c r="O5" s="802"/>
      <c r="P5" s="802"/>
      <c r="Q5" s="802"/>
      <c r="R5" s="802"/>
      <c r="S5" s="802"/>
      <c r="T5" s="802"/>
      <c r="U5" s="802"/>
      <c r="V5" s="802"/>
      <c r="W5" s="803"/>
      <c r="X5" s="810" t="s">
        <v>236</v>
      </c>
      <c r="Y5" s="797" t="s">
        <v>158</v>
      </c>
      <c r="Z5" s="802"/>
      <c r="AA5" s="802"/>
      <c r="AB5" s="798"/>
      <c r="AC5" s="797" t="s">
        <v>159</v>
      </c>
      <c r="AD5" s="802"/>
      <c r="AE5" s="802"/>
      <c r="AF5" s="798"/>
      <c r="AG5" s="795" t="s">
        <v>160</v>
      </c>
      <c r="AH5" s="795" t="s">
        <v>161</v>
      </c>
      <c r="AI5" s="797" t="s">
        <v>162</v>
      </c>
      <c r="AJ5" s="798"/>
      <c r="AK5" s="795" t="s">
        <v>163</v>
      </c>
      <c r="AL5" s="795" t="s">
        <v>164</v>
      </c>
      <c r="AM5" s="812" t="s">
        <v>165</v>
      </c>
      <c r="AN5" s="813"/>
      <c r="AO5" s="805"/>
    </row>
    <row r="6" spans="1:43" ht="64.5" customHeight="1" x14ac:dyDescent="0.25">
      <c r="A6" s="783"/>
      <c r="B6" s="785"/>
      <c r="C6" s="787"/>
      <c r="D6" s="789"/>
      <c r="E6" s="796"/>
      <c r="F6" s="796"/>
      <c r="G6" s="796"/>
      <c r="H6" s="796"/>
      <c r="I6" s="154" t="s">
        <v>166</v>
      </c>
      <c r="J6" s="421" t="s">
        <v>231</v>
      </c>
      <c r="K6" s="806" t="s">
        <v>350</v>
      </c>
      <c r="L6" s="807"/>
      <c r="M6" s="808"/>
      <c r="N6" s="793" t="s">
        <v>348</v>
      </c>
      <c r="O6" s="809"/>
      <c r="P6" s="794"/>
      <c r="Q6" s="799" t="s">
        <v>349</v>
      </c>
      <c r="R6" s="800"/>
      <c r="S6" s="801"/>
      <c r="T6" s="802" t="s">
        <v>167</v>
      </c>
      <c r="U6" s="802"/>
      <c r="V6" s="802"/>
      <c r="W6" s="803"/>
      <c r="X6" s="811"/>
      <c r="Y6" s="806" t="s">
        <v>168</v>
      </c>
      <c r="Z6" s="808"/>
      <c r="AA6" s="793" t="s">
        <v>228</v>
      </c>
      <c r="AB6" s="794"/>
      <c r="AC6" s="155" t="s">
        <v>119</v>
      </c>
      <c r="AD6" s="155" t="s">
        <v>117</v>
      </c>
      <c r="AE6" s="155" t="s">
        <v>118</v>
      </c>
      <c r="AF6" s="156" t="s">
        <v>120</v>
      </c>
      <c r="AG6" s="796"/>
      <c r="AH6" s="796"/>
      <c r="AI6" s="157" t="s">
        <v>168</v>
      </c>
      <c r="AJ6" s="158" t="s">
        <v>229</v>
      </c>
      <c r="AK6" s="796"/>
      <c r="AL6" s="796"/>
      <c r="AM6" s="814"/>
      <c r="AN6" s="815"/>
      <c r="AO6" s="805"/>
    </row>
    <row r="7" spans="1:43" s="175" customFormat="1" ht="56.25" x14ac:dyDescent="0.25">
      <c r="A7" s="783"/>
      <c r="B7" s="785"/>
      <c r="C7" s="788"/>
      <c r="D7" s="789"/>
      <c r="E7" s="159" t="s">
        <v>23</v>
      </c>
      <c r="F7" s="160" t="s">
        <v>22</v>
      </c>
      <c r="G7" s="161" t="s">
        <v>21</v>
      </c>
      <c r="H7" s="162" t="s">
        <v>23</v>
      </c>
      <c r="I7" s="161" t="s">
        <v>169</v>
      </c>
      <c r="J7" s="162" t="s">
        <v>234</v>
      </c>
      <c r="K7" s="165" t="s">
        <v>171</v>
      </c>
      <c r="L7" s="165" t="s">
        <v>172</v>
      </c>
      <c r="M7" s="165" t="s">
        <v>173</v>
      </c>
      <c r="N7" s="166" t="s">
        <v>174</v>
      </c>
      <c r="O7" s="166" t="s">
        <v>175</v>
      </c>
      <c r="P7" s="166" t="s">
        <v>173</v>
      </c>
      <c r="Q7" s="575" t="s">
        <v>174</v>
      </c>
      <c r="R7" s="575" t="s">
        <v>175</v>
      </c>
      <c r="S7" s="575" t="s">
        <v>173</v>
      </c>
      <c r="T7" s="161" t="s">
        <v>41</v>
      </c>
      <c r="U7" s="161" t="s">
        <v>176</v>
      </c>
      <c r="V7" s="161" t="s">
        <v>177</v>
      </c>
      <c r="W7" s="163" t="s">
        <v>33</v>
      </c>
      <c r="X7" s="167" t="s">
        <v>23</v>
      </c>
      <c r="Y7" s="168" t="s">
        <v>178</v>
      </c>
      <c r="Z7" s="168" t="s">
        <v>179</v>
      </c>
      <c r="AA7" s="169" t="s">
        <v>180</v>
      </c>
      <c r="AB7" s="169" t="s">
        <v>181</v>
      </c>
      <c r="AC7" s="160">
        <v>1</v>
      </c>
      <c r="AD7" s="160">
        <v>1</v>
      </c>
      <c r="AE7" s="160">
        <v>1</v>
      </c>
      <c r="AF7" s="160">
        <v>1</v>
      </c>
      <c r="AG7" s="160" t="s">
        <v>23</v>
      </c>
      <c r="AH7" s="160" t="s">
        <v>23</v>
      </c>
      <c r="AI7" s="168" t="s">
        <v>23</v>
      </c>
      <c r="AJ7" s="169" t="s">
        <v>182</v>
      </c>
      <c r="AK7" s="170" t="s">
        <v>21</v>
      </c>
      <c r="AL7" s="171" t="s">
        <v>21</v>
      </c>
      <c r="AM7" s="172" t="s">
        <v>23</v>
      </c>
      <c r="AN7" s="173" t="s">
        <v>21</v>
      </c>
      <c r="AO7" s="174" t="s">
        <v>21</v>
      </c>
    </row>
    <row r="8" spans="1:43" s="175" customFormat="1" x14ac:dyDescent="0.25">
      <c r="A8" s="176"/>
      <c r="B8" s="177"/>
      <c r="C8" s="177"/>
      <c r="D8" s="162"/>
      <c r="E8" s="159"/>
      <c r="F8" s="160"/>
      <c r="G8" s="161"/>
      <c r="H8" s="161"/>
      <c r="I8" s="161"/>
      <c r="J8" s="162"/>
      <c r="K8" s="165"/>
      <c r="L8" s="165"/>
      <c r="M8" s="165"/>
      <c r="N8" s="166"/>
      <c r="O8" s="166"/>
      <c r="P8" s="166"/>
      <c r="Q8" s="575"/>
      <c r="R8" s="575"/>
      <c r="S8" s="575"/>
      <c r="T8" s="161"/>
      <c r="U8" s="161"/>
      <c r="V8" s="161"/>
      <c r="W8" s="164"/>
      <c r="X8" s="167"/>
      <c r="Y8" s="178"/>
      <c r="Z8" s="179"/>
      <c r="AA8" s="169"/>
      <c r="AB8" s="169"/>
      <c r="AC8" s="160"/>
      <c r="AD8" s="160"/>
      <c r="AE8" s="160"/>
      <c r="AF8" s="160"/>
      <c r="AG8" s="160"/>
      <c r="AH8" s="160"/>
      <c r="AI8" s="180"/>
      <c r="AJ8" s="180"/>
      <c r="AK8" s="170"/>
      <c r="AL8" s="171"/>
      <c r="AM8" s="172"/>
      <c r="AN8" s="173"/>
      <c r="AO8" s="174"/>
    </row>
    <row r="9" spans="1:43" ht="45.6" customHeight="1" x14ac:dyDescent="0.25">
      <c r="A9" s="771">
        <v>1</v>
      </c>
      <c r="B9" s="774" t="s">
        <v>32</v>
      </c>
      <c r="C9" s="777" t="s">
        <v>183</v>
      </c>
      <c r="D9" s="181" t="s">
        <v>226</v>
      </c>
      <c r="E9" s="182"/>
      <c r="F9" s="183"/>
      <c r="G9" s="184"/>
      <c r="H9" s="185"/>
      <c r="I9" s="183"/>
      <c r="J9" s="186"/>
      <c r="K9" s="187"/>
      <c r="L9" s="183"/>
      <c r="M9" s="188"/>
      <c r="N9" s="187"/>
      <c r="O9" s="183"/>
      <c r="P9" s="188"/>
      <c r="Q9" s="187"/>
      <c r="R9" s="183"/>
      <c r="S9" s="188"/>
      <c r="T9" s="189"/>
      <c r="U9" s="190"/>
      <c r="V9" s="189"/>
      <c r="W9" s="191"/>
      <c r="X9" s="473"/>
      <c r="Y9" s="474"/>
      <c r="Z9" s="190"/>
      <c r="AA9" s="475"/>
      <c r="AB9" s="183"/>
      <c r="AC9" s="476"/>
      <c r="AD9" s="477"/>
      <c r="AE9" s="477"/>
      <c r="AF9" s="192"/>
      <c r="AG9" s="193"/>
      <c r="AH9" s="194"/>
      <c r="AI9" s="195"/>
      <c r="AJ9" s="195"/>
      <c r="AK9" s="196"/>
      <c r="AL9" s="197"/>
      <c r="AM9" s="186"/>
      <c r="AN9" s="198"/>
      <c r="AO9" s="199"/>
    </row>
    <row r="10" spans="1:43" ht="15.75" thickBot="1" x14ac:dyDescent="0.3">
      <c r="A10" s="772"/>
      <c r="B10" s="775"/>
      <c r="C10" s="778"/>
      <c r="D10" s="201" t="s">
        <v>186</v>
      </c>
      <c r="E10" s="202"/>
      <c r="F10" s="203"/>
      <c r="G10" s="204"/>
      <c r="H10" s="205"/>
      <c r="I10" s="205"/>
      <c r="J10" s="206"/>
      <c r="K10" s="207"/>
      <c r="L10" s="203"/>
      <c r="M10" s="208"/>
      <c r="N10" s="207"/>
      <c r="O10" s="203"/>
      <c r="P10" s="208"/>
      <c r="Q10" s="207"/>
      <c r="R10" s="203"/>
      <c r="S10" s="208"/>
      <c r="T10" s="209"/>
      <c r="U10" s="210"/>
      <c r="V10" s="209"/>
      <c r="W10" s="211"/>
      <c r="X10" s="478"/>
      <c r="Y10" s="479"/>
      <c r="Z10" s="210"/>
      <c r="AA10" s="480"/>
      <c r="AB10" s="210"/>
      <c r="AC10" s="481"/>
      <c r="AD10" s="482"/>
      <c r="AE10" s="482"/>
      <c r="AF10" s="212"/>
      <c r="AG10" s="213"/>
      <c r="AH10" s="213"/>
      <c r="AI10" s="214"/>
      <c r="AJ10" s="214"/>
      <c r="AK10" s="215"/>
      <c r="AL10" s="215"/>
      <c r="AM10" s="206"/>
      <c r="AN10" s="216"/>
      <c r="AO10" s="217"/>
    </row>
    <row r="11" spans="1:43" ht="27" customHeight="1" thickTop="1" thickBot="1" x14ac:dyDescent="0.3">
      <c r="A11" s="772"/>
      <c r="B11" s="775"/>
      <c r="C11" s="779" t="s">
        <v>187</v>
      </c>
      <c r="D11" s="426" t="s">
        <v>225</v>
      </c>
      <c r="E11" s="427"/>
      <c r="F11" s="428"/>
      <c r="G11" s="429"/>
      <c r="H11" s="427"/>
      <c r="I11" s="428"/>
      <c r="J11" s="430"/>
      <c r="K11" s="431"/>
      <c r="L11" s="428"/>
      <c r="M11" s="432"/>
      <c r="N11" s="431"/>
      <c r="O11" s="428"/>
      <c r="P11" s="433"/>
      <c r="Q11" s="431"/>
      <c r="R11" s="428"/>
      <c r="S11" s="433"/>
      <c r="T11" s="434"/>
      <c r="U11" s="435"/>
      <c r="V11" s="434"/>
      <c r="W11" s="436"/>
      <c r="X11" s="483"/>
      <c r="Y11" s="484"/>
      <c r="Z11" s="435"/>
      <c r="AA11" s="485"/>
      <c r="AB11" s="428"/>
      <c r="AC11" s="486"/>
      <c r="AD11" s="487"/>
      <c r="AE11" s="487"/>
      <c r="AF11" s="437"/>
      <c r="AG11" s="438"/>
      <c r="AH11" s="438"/>
      <c r="AI11" s="439"/>
      <c r="AJ11" s="439"/>
      <c r="AK11" s="440"/>
      <c r="AL11" s="440"/>
      <c r="AM11" s="441"/>
      <c r="AN11" s="442"/>
      <c r="AO11" s="443"/>
      <c r="AQ11" s="221"/>
    </row>
    <row r="12" spans="1:43" ht="16.5" thickTop="1" thickBot="1" x14ac:dyDescent="0.3">
      <c r="A12" s="772"/>
      <c r="B12" s="775"/>
      <c r="C12" s="779"/>
      <c r="D12" s="444" t="s">
        <v>185</v>
      </c>
      <c r="E12" s="445"/>
      <c r="F12" s="446"/>
      <c r="G12" s="447"/>
      <c r="H12" s="447"/>
      <c r="I12" s="447"/>
      <c r="J12" s="448"/>
      <c r="K12" s="448"/>
      <c r="L12" s="448"/>
      <c r="M12" s="448"/>
      <c r="N12" s="448"/>
      <c r="O12" s="448"/>
      <c r="P12" s="448"/>
      <c r="Q12" s="448"/>
      <c r="R12" s="448"/>
      <c r="S12" s="448"/>
      <c r="T12" s="434"/>
      <c r="U12" s="449"/>
      <c r="V12" s="450"/>
      <c r="W12" s="436"/>
      <c r="X12" s="488"/>
      <c r="Y12" s="488"/>
      <c r="Z12" s="489"/>
      <c r="AA12" s="488"/>
      <c r="AB12" s="489"/>
      <c r="AC12" s="490"/>
      <c r="AD12" s="491"/>
      <c r="AE12" s="491"/>
      <c r="AF12" s="451"/>
      <c r="AG12" s="452"/>
      <c r="AH12" s="452"/>
      <c r="AI12" s="453"/>
      <c r="AJ12" s="453"/>
      <c r="AK12" s="454"/>
      <c r="AL12" s="454"/>
      <c r="AM12" s="448"/>
      <c r="AN12" s="455"/>
      <c r="AO12" s="456"/>
    </row>
    <row r="13" spans="1:43" ht="16.5" thickTop="1" thickBot="1" x14ac:dyDescent="0.3">
      <c r="A13" s="772"/>
      <c r="B13" s="775"/>
      <c r="C13" s="780"/>
      <c r="D13" s="457" t="s">
        <v>186</v>
      </c>
      <c r="E13" s="458"/>
      <c r="F13" s="459"/>
      <c r="G13" s="460"/>
      <c r="H13" s="461"/>
      <c r="I13" s="461"/>
      <c r="J13" s="462"/>
      <c r="K13" s="462"/>
      <c r="L13" s="459"/>
      <c r="M13" s="463"/>
      <c r="N13" s="462"/>
      <c r="O13" s="459"/>
      <c r="P13" s="463"/>
      <c r="Q13" s="462"/>
      <c r="R13" s="459"/>
      <c r="S13" s="463"/>
      <c r="T13" s="464"/>
      <c r="U13" s="459"/>
      <c r="V13" s="464"/>
      <c r="W13" s="465"/>
      <c r="X13" s="492"/>
      <c r="Y13" s="492"/>
      <c r="Z13" s="459"/>
      <c r="AA13" s="492"/>
      <c r="AB13" s="459"/>
      <c r="AC13" s="493"/>
      <c r="AD13" s="494"/>
      <c r="AE13" s="494"/>
      <c r="AF13" s="466"/>
      <c r="AG13" s="467"/>
      <c r="AH13" s="467"/>
      <c r="AI13" s="468"/>
      <c r="AJ13" s="468"/>
      <c r="AK13" s="469"/>
      <c r="AL13" s="469"/>
      <c r="AM13" s="462"/>
      <c r="AN13" s="470"/>
      <c r="AO13" s="471"/>
    </row>
    <row r="14" spans="1:43" ht="34.5" customHeight="1" thickTop="1" thickBot="1" x14ac:dyDescent="0.3">
      <c r="A14" s="773"/>
      <c r="B14" s="776"/>
      <c r="C14" s="224"/>
      <c r="D14" s="357" t="s">
        <v>189</v>
      </c>
      <c r="E14" s="358"/>
      <c r="F14" s="359"/>
      <c r="G14" s="360"/>
      <c r="H14" s="361"/>
      <c r="I14" s="360"/>
      <c r="J14" s="363"/>
      <c r="K14" s="362"/>
      <c r="L14" s="362"/>
      <c r="M14" s="364"/>
      <c r="N14" s="362"/>
      <c r="O14" s="362"/>
      <c r="P14" s="364"/>
      <c r="Q14" s="362"/>
      <c r="R14" s="362"/>
      <c r="S14" s="364"/>
      <c r="T14" s="365"/>
      <c r="U14" s="366"/>
      <c r="V14" s="365"/>
      <c r="W14" s="367"/>
      <c r="X14" s="368"/>
      <c r="Y14" s="369"/>
      <c r="Z14" s="362"/>
      <c r="AA14" s="370"/>
      <c r="AB14" s="362"/>
      <c r="AC14" s="371"/>
      <c r="AD14" s="371"/>
      <c r="AE14" s="371"/>
      <c r="AF14" s="371"/>
      <c r="AG14" s="372"/>
      <c r="AH14" s="372"/>
      <c r="AI14" s="372"/>
      <c r="AJ14" s="372"/>
      <c r="AK14" s="373"/>
      <c r="AL14" s="373"/>
      <c r="AM14" s="363"/>
      <c r="AN14" s="374"/>
      <c r="AO14" s="525"/>
      <c r="AP14" s="225"/>
    </row>
    <row r="15" spans="1:43" ht="38.450000000000003" customHeight="1" thickTop="1" thickBot="1" x14ac:dyDescent="0.3">
      <c r="A15" s="772">
        <v>2</v>
      </c>
      <c r="B15" s="775" t="s">
        <v>75</v>
      </c>
      <c r="C15" s="226"/>
      <c r="D15" s="227" t="s">
        <v>190</v>
      </c>
      <c r="E15" s="392"/>
      <c r="F15" s="183"/>
      <c r="G15" s="219"/>
      <c r="H15" s="219"/>
      <c r="I15" s="228"/>
      <c r="J15" s="186"/>
      <c r="K15" s="229"/>
      <c r="L15" s="229"/>
      <c r="M15" s="229"/>
      <c r="N15" s="187"/>
      <c r="O15" s="183"/>
      <c r="P15" s="188"/>
      <c r="Q15" s="187"/>
      <c r="R15" s="183"/>
      <c r="S15" s="188"/>
      <c r="T15" s="189"/>
      <c r="U15" s="190"/>
      <c r="V15" s="230"/>
      <c r="W15" s="397"/>
      <c r="X15" s="473"/>
      <c r="Y15" s="495"/>
      <c r="Z15" s="496"/>
      <c r="AA15" s="475"/>
      <c r="AB15" s="183"/>
      <c r="AC15" s="497"/>
      <c r="AD15" s="498"/>
      <c r="AE15" s="498"/>
      <c r="AF15" s="351"/>
      <c r="AG15" s="195"/>
      <c r="AH15" s="352"/>
      <c r="AI15" s="352"/>
      <c r="AJ15" s="195"/>
      <c r="AK15" s="196"/>
      <c r="AL15" s="353"/>
      <c r="AM15" s="186"/>
      <c r="AN15" s="280"/>
      <c r="AO15" s="231"/>
      <c r="AP15" s="225"/>
    </row>
    <row r="16" spans="1:43" s="225" customFormat="1" ht="38.450000000000003" customHeight="1" thickTop="1" thickBot="1" x14ac:dyDescent="0.3">
      <c r="A16" s="773"/>
      <c r="B16" s="776"/>
      <c r="C16" s="350"/>
      <c r="D16" s="375" t="s">
        <v>222</v>
      </c>
      <c r="E16" s="376"/>
      <c r="F16" s="377"/>
      <c r="G16" s="378"/>
      <c r="H16" s="378"/>
      <c r="I16" s="378"/>
      <c r="J16" s="380"/>
      <c r="K16" s="379"/>
      <c r="L16" s="379"/>
      <c r="M16" s="379"/>
      <c r="N16" s="379"/>
      <c r="O16" s="379"/>
      <c r="P16" s="381"/>
      <c r="Q16" s="379"/>
      <c r="R16" s="379"/>
      <c r="S16" s="381"/>
      <c r="T16" s="381"/>
      <c r="U16" s="382"/>
      <c r="V16" s="381"/>
      <c r="W16" s="383"/>
      <c r="X16" s="384"/>
      <c r="Y16" s="385"/>
      <c r="Z16" s="379"/>
      <c r="AA16" s="386"/>
      <c r="AB16" s="379"/>
      <c r="AC16" s="387"/>
      <c r="AD16" s="388"/>
      <c r="AE16" s="388"/>
      <c r="AF16" s="387"/>
      <c r="AG16" s="389"/>
      <c r="AH16" s="389"/>
      <c r="AI16" s="389"/>
      <c r="AJ16" s="389"/>
      <c r="AK16" s="390"/>
      <c r="AL16" s="390"/>
      <c r="AM16" s="380"/>
      <c r="AN16" s="391"/>
      <c r="AO16" s="526"/>
    </row>
    <row r="17" spans="1:43" ht="24.6" customHeight="1" thickTop="1" x14ac:dyDescent="0.25">
      <c r="A17" s="200"/>
      <c r="B17" s="781" t="s">
        <v>76</v>
      </c>
      <c r="C17" s="777" t="s">
        <v>183</v>
      </c>
      <c r="D17" s="181" t="s">
        <v>184</v>
      </c>
      <c r="E17" s="182"/>
      <c r="F17" s="183"/>
      <c r="G17" s="184"/>
      <c r="H17" s="185"/>
      <c r="I17" s="183"/>
      <c r="J17" s="186"/>
      <c r="K17" s="187"/>
      <c r="L17" s="183"/>
      <c r="M17" s="188"/>
      <c r="N17" s="187"/>
      <c r="O17" s="183"/>
      <c r="P17" s="188"/>
      <c r="Q17" s="187"/>
      <c r="R17" s="183"/>
      <c r="S17" s="188"/>
      <c r="T17" s="189"/>
      <c r="U17" s="190"/>
      <c r="V17" s="189"/>
      <c r="W17" s="191"/>
      <c r="X17" s="473"/>
      <c r="Y17" s="474"/>
      <c r="Z17" s="190"/>
      <c r="AA17" s="475"/>
      <c r="AB17" s="183"/>
      <c r="AC17" s="476"/>
      <c r="AD17" s="477"/>
      <c r="AE17" s="477"/>
      <c r="AF17" s="192"/>
      <c r="AG17" s="195"/>
      <c r="AH17" s="354"/>
      <c r="AI17" s="195"/>
      <c r="AJ17" s="195"/>
      <c r="AK17" s="355"/>
      <c r="AL17" s="356"/>
      <c r="AM17" s="186"/>
      <c r="AN17" s="198"/>
      <c r="AO17" s="199"/>
      <c r="AP17" s="225"/>
    </row>
    <row r="18" spans="1:43" ht="24.6" customHeight="1" thickBot="1" x14ac:dyDescent="0.3">
      <c r="A18" s="200"/>
      <c r="B18" s="775"/>
      <c r="C18" s="778"/>
      <c r="D18" s="223" t="s">
        <v>186</v>
      </c>
      <c r="E18" s="202"/>
      <c r="F18" s="203"/>
      <c r="G18" s="204"/>
      <c r="H18" s="205"/>
      <c r="I18" s="205"/>
      <c r="J18" s="206"/>
      <c r="K18" s="207"/>
      <c r="L18" s="203"/>
      <c r="M18" s="208"/>
      <c r="N18" s="207"/>
      <c r="O18" s="203"/>
      <c r="P18" s="208"/>
      <c r="Q18" s="207"/>
      <c r="R18" s="203"/>
      <c r="S18" s="208"/>
      <c r="T18" s="209"/>
      <c r="U18" s="210"/>
      <c r="V18" s="209"/>
      <c r="W18" s="211"/>
      <c r="X18" s="478"/>
      <c r="Y18" s="479"/>
      <c r="Z18" s="210"/>
      <c r="AA18" s="480"/>
      <c r="AB18" s="210"/>
      <c r="AC18" s="481"/>
      <c r="AD18" s="482"/>
      <c r="AE18" s="482"/>
      <c r="AF18" s="212"/>
      <c r="AG18" s="213"/>
      <c r="AH18" s="213"/>
      <c r="AI18" s="214"/>
      <c r="AJ18" s="214"/>
      <c r="AK18" s="215"/>
      <c r="AL18" s="215"/>
      <c r="AM18" s="206"/>
      <c r="AN18" s="216"/>
      <c r="AO18" s="217"/>
      <c r="AP18" s="225"/>
    </row>
    <row r="19" spans="1:43" ht="15.6" customHeight="1" thickTop="1" thickBot="1" x14ac:dyDescent="0.3">
      <c r="A19" s="200"/>
      <c r="B19" s="775"/>
      <c r="C19" s="779" t="s">
        <v>187</v>
      </c>
      <c r="D19" s="426" t="s">
        <v>188</v>
      </c>
      <c r="E19" s="427"/>
      <c r="F19" s="428"/>
      <c r="G19" s="429"/>
      <c r="H19" s="427"/>
      <c r="I19" s="428"/>
      <c r="J19" s="430"/>
      <c r="K19" s="431"/>
      <c r="L19" s="428"/>
      <c r="M19" s="432"/>
      <c r="N19" s="431"/>
      <c r="O19" s="428"/>
      <c r="P19" s="433"/>
      <c r="Q19" s="431"/>
      <c r="R19" s="428"/>
      <c r="S19" s="433"/>
      <c r="T19" s="434"/>
      <c r="U19" s="435"/>
      <c r="V19" s="434"/>
      <c r="W19" s="436"/>
      <c r="X19" s="483"/>
      <c r="Y19" s="484"/>
      <c r="Z19" s="435"/>
      <c r="AA19" s="485"/>
      <c r="AB19" s="428"/>
      <c r="AC19" s="487"/>
      <c r="AD19" s="487"/>
      <c r="AE19" s="487"/>
      <c r="AF19" s="437"/>
      <c r="AG19" s="438"/>
      <c r="AH19" s="438"/>
      <c r="AI19" s="439"/>
      <c r="AJ19" s="439"/>
      <c r="AK19" s="440"/>
      <c r="AL19" s="440"/>
      <c r="AM19" s="441"/>
      <c r="AN19" s="442"/>
      <c r="AO19" s="443"/>
      <c r="AP19" s="225"/>
    </row>
    <row r="20" spans="1:43" ht="31.5" thickTop="1" thickBot="1" x14ac:dyDescent="0.3">
      <c r="A20" s="200">
        <v>3</v>
      </c>
      <c r="B20" s="775"/>
      <c r="C20" s="779"/>
      <c r="D20" s="426" t="s">
        <v>223</v>
      </c>
      <c r="E20" s="427"/>
      <c r="F20" s="428"/>
      <c r="G20" s="472"/>
      <c r="H20" s="427"/>
      <c r="I20" s="428"/>
      <c r="J20" s="430"/>
      <c r="K20" s="431"/>
      <c r="L20" s="428"/>
      <c r="M20" s="432"/>
      <c r="N20" s="431"/>
      <c r="O20" s="428"/>
      <c r="P20" s="433"/>
      <c r="Q20" s="431"/>
      <c r="R20" s="428"/>
      <c r="S20" s="433"/>
      <c r="T20" s="434"/>
      <c r="U20" s="435"/>
      <c r="V20" s="434"/>
      <c r="W20" s="436"/>
      <c r="X20" s="483"/>
      <c r="Y20" s="484"/>
      <c r="Z20" s="435"/>
      <c r="AA20" s="485"/>
      <c r="AB20" s="428"/>
      <c r="AC20" s="487"/>
      <c r="AD20" s="487"/>
      <c r="AE20" s="487"/>
      <c r="AF20" s="437"/>
      <c r="AG20" s="438"/>
      <c r="AH20" s="438"/>
      <c r="AI20" s="439"/>
      <c r="AJ20" s="439"/>
      <c r="AK20" s="440"/>
      <c r="AL20" s="440"/>
      <c r="AM20" s="441"/>
      <c r="AN20" s="442"/>
      <c r="AO20" s="443"/>
      <c r="AP20" s="225"/>
    </row>
    <row r="21" spans="1:43" ht="15.6" customHeight="1" thickTop="1" thickBot="1" x14ac:dyDescent="0.3">
      <c r="A21" s="200"/>
      <c r="B21" s="775"/>
      <c r="C21" s="780"/>
      <c r="D21" s="457" t="s">
        <v>186</v>
      </c>
      <c r="E21" s="458"/>
      <c r="F21" s="459"/>
      <c r="G21" s="460"/>
      <c r="H21" s="461"/>
      <c r="I21" s="461"/>
      <c r="J21" s="462"/>
      <c r="K21" s="462"/>
      <c r="L21" s="459"/>
      <c r="M21" s="463"/>
      <c r="N21" s="462"/>
      <c r="O21" s="459"/>
      <c r="P21" s="463"/>
      <c r="Q21" s="462"/>
      <c r="R21" s="459"/>
      <c r="S21" s="463"/>
      <c r="T21" s="434"/>
      <c r="U21" s="459"/>
      <c r="V21" s="464"/>
      <c r="W21" s="465"/>
      <c r="X21" s="492"/>
      <c r="Y21" s="492"/>
      <c r="Z21" s="459"/>
      <c r="AA21" s="492"/>
      <c r="AB21" s="459"/>
      <c r="AC21" s="493"/>
      <c r="AD21" s="494"/>
      <c r="AE21" s="494"/>
      <c r="AF21" s="466"/>
      <c r="AG21" s="467"/>
      <c r="AH21" s="467"/>
      <c r="AI21" s="468"/>
      <c r="AJ21" s="468"/>
      <c r="AK21" s="469"/>
      <c r="AL21" s="469"/>
      <c r="AM21" s="462"/>
      <c r="AN21" s="470"/>
      <c r="AO21" s="471"/>
      <c r="AP21" s="225"/>
    </row>
    <row r="22" spans="1:43" ht="35.450000000000003" customHeight="1" thickTop="1" thickBot="1" x14ac:dyDescent="0.3">
      <c r="A22" s="499"/>
      <c r="B22" s="776"/>
      <c r="C22" s="499"/>
      <c r="D22" s="357" t="s">
        <v>220</v>
      </c>
      <c r="E22" s="358"/>
      <c r="F22" s="359"/>
      <c r="G22" s="360"/>
      <c r="H22" s="361"/>
      <c r="I22" s="360"/>
      <c r="J22" s="363"/>
      <c r="K22" s="362"/>
      <c r="L22" s="362"/>
      <c r="M22" s="364"/>
      <c r="N22" s="362"/>
      <c r="O22" s="362"/>
      <c r="P22" s="365"/>
      <c r="Q22" s="362"/>
      <c r="R22" s="362"/>
      <c r="S22" s="365"/>
      <c r="T22" s="365"/>
      <c r="U22" s="366"/>
      <c r="V22" s="365"/>
      <c r="W22" s="367"/>
      <c r="X22" s="368"/>
      <c r="Y22" s="369"/>
      <c r="Z22" s="362"/>
      <c r="AA22" s="370"/>
      <c r="AB22" s="362"/>
      <c r="AC22" s="371"/>
      <c r="AD22" s="371"/>
      <c r="AE22" s="371"/>
      <c r="AF22" s="371"/>
      <c r="AG22" s="372"/>
      <c r="AH22" s="372"/>
      <c r="AI22" s="372"/>
      <c r="AJ22" s="372"/>
      <c r="AK22" s="373"/>
      <c r="AL22" s="373"/>
      <c r="AM22" s="363"/>
      <c r="AN22" s="374"/>
      <c r="AO22" s="525"/>
    </row>
    <row r="23" spans="1:43" ht="15.75" thickTop="1" x14ac:dyDescent="0.25"/>
    <row r="24" spans="1:43" ht="15.75" thickBot="1" x14ac:dyDescent="0.3"/>
    <row r="25" spans="1:43" ht="16.5" thickTop="1" thickBot="1" x14ac:dyDescent="0.3">
      <c r="A25" s="769" t="s">
        <v>5</v>
      </c>
      <c r="B25" s="770"/>
      <c r="C25" s="232"/>
      <c r="D25" s="232"/>
      <c r="E25" s="233">
        <f>E22+E16+E14</f>
        <v>0</v>
      </c>
      <c r="F25" s="234"/>
      <c r="G25" s="233">
        <f>G22+G16+G14</f>
        <v>0</v>
      </c>
      <c r="H25" s="233">
        <f>H22+H16+H14</f>
        <v>0</v>
      </c>
      <c r="I25" s="235"/>
      <c r="J25" s="233">
        <f>J22+J16+J14</f>
        <v>0</v>
      </c>
      <c r="K25" s="236"/>
      <c r="L25" s="236"/>
      <c r="M25" s="238">
        <f>M22+M16+M14</f>
        <v>0</v>
      </c>
      <c r="N25" s="233"/>
      <c r="O25" s="236"/>
      <c r="P25" s="238">
        <f>P22+P16+P14</f>
        <v>0</v>
      </c>
      <c r="Q25" s="233"/>
      <c r="R25" s="236"/>
      <c r="S25" s="238">
        <f>S22+S16+S14</f>
        <v>0</v>
      </c>
      <c r="T25" s="233">
        <f>T22+T16+T14</f>
        <v>0</v>
      </c>
      <c r="U25" s="238"/>
      <c r="V25" s="233">
        <f>V22+V16+V14</f>
        <v>0</v>
      </c>
      <c r="W25" s="239"/>
      <c r="X25" s="233">
        <f>X22+X16+X14</f>
        <v>0</v>
      </c>
      <c r="Y25" s="240"/>
      <c r="Z25" s="240"/>
      <c r="AA25" s="240"/>
      <c r="AB25" s="240"/>
      <c r="AC25" s="241"/>
      <c r="AD25" s="242"/>
      <c r="AE25" s="242"/>
      <c r="AF25" s="242"/>
      <c r="AG25" s="237"/>
      <c r="AH25" s="237"/>
      <c r="AI25" s="237"/>
      <c r="AJ25" s="237"/>
      <c r="AK25" s="243"/>
      <c r="AL25" s="243"/>
      <c r="AM25" s="237"/>
      <c r="AN25" s="244"/>
      <c r="AO25" s="245"/>
    </row>
    <row r="26" spans="1:43" ht="15" customHeight="1" thickBot="1" x14ac:dyDescent="0.3"/>
    <row r="27" spans="1:43" ht="15.75" thickBot="1" x14ac:dyDescent="0.3">
      <c r="A27" s="247" t="s">
        <v>419</v>
      </c>
      <c r="J27" s="395">
        <v>2660</v>
      </c>
      <c r="Y27" s="247"/>
      <c r="Z27" s="248"/>
      <c r="AQ27" s="249"/>
    </row>
    <row r="28" spans="1:43" x14ac:dyDescent="0.25">
      <c r="A28" s="247"/>
      <c r="B28" s="147"/>
      <c r="J28" s="651"/>
      <c r="Y28" s="247"/>
      <c r="Z28" s="248"/>
      <c r="AQ28" s="249"/>
    </row>
    <row r="29" spans="1:43" x14ac:dyDescent="0.25">
      <c r="A29" s="247"/>
      <c r="J29" s="651"/>
      <c r="Y29" s="247"/>
      <c r="Z29" s="248"/>
      <c r="AQ29" s="249"/>
    </row>
    <row r="30" spans="1:43" x14ac:dyDescent="0.25">
      <c r="A30" s="247"/>
      <c r="J30" s="248"/>
      <c r="Y30" s="247"/>
      <c r="Z30" s="248"/>
      <c r="AQ30" s="249"/>
    </row>
    <row r="32" spans="1:43" x14ac:dyDescent="0.25">
      <c r="A32" s="247" t="s">
        <v>191</v>
      </c>
    </row>
    <row r="33" spans="1:38" x14ac:dyDescent="0.25">
      <c r="A33" s="250" t="s">
        <v>192</v>
      </c>
      <c r="Z33" s="251"/>
    </row>
    <row r="34" spans="1:38" x14ac:dyDescent="0.25">
      <c r="A34" s="250" t="s">
        <v>193</v>
      </c>
      <c r="G34" s="147"/>
      <c r="H34" s="147"/>
      <c r="I34" s="147"/>
      <c r="J34" s="252">
        <v>1</v>
      </c>
    </row>
    <row r="35" spans="1:38" ht="15.75" thickBot="1" x14ac:dyDescent="0.3">
      <c r="A35" s="250" t="s">
        <v>194</v>
      </c>
      <c r="G35" s="147"/>
      <c r="H35" s="147"/>
      <c r="I35" s="147"/>
      <c r="J35" s="252">
        <v>1</v>
      </c>
    </row>
    <row r="36" spans="1:38" ht="15.75" thickBot="1" x14ac:dyDescent="0.3">
      <c r="A36" s="247" t="s">
        <v>420</v>
      </c>
      <c r="J36" s="395">
        <v>2660</v>
      </c>
      <c r="AL36" s="253">
        <f>AK9*1.22</f>
        <v>0</v>
      </c>
    </row>
    <row r="37" spans="1:38" x14ac:dyDescent="0.25">
      <c r="A37" s="247"/>
      <c r="B37" s="147"/>
      <c r="J37" s="651"/>
      <c r="Y37" s="254"/>
    </row>
    <row r="38" spans="1:38" x14ac:dyDescent="0.25">
      <c r="A38" s="247"/>
      <c r="J38" s="651"/>
      <c r="N38" s="146">
        <v>2660</v>
      </c>
    </row>
  </sheetData>
  <mergeCells count="37">
    <mergeCell ref="AO4:AO6"/>
    <mergeCell ref="E5:E6"/>
    <mergeCell ref="F5:F6"/>
    <mergeCell ref="G5:G6"/>
    <mergeCell ref="H5:H6"/>
    <mergeCell ref="K6:M6"/>
    <mergeCell ref="N6:P6"/>
    <mergeCell ref="T6:W6"/>
    <mergeCell ref="Y6:Z6"/>
    <mergeCell ref="X5:X6"/>
    <mergeCell ref="Y5:AB5"/>
    <mergeCell ref="AC5:AF5"/>
    <mergeCell ref="AM5:AN6"/>
    <mergeCell ref="AG5:AG6"/>
    <mergeCell ref="E4:W4"/>
    <mergeCell ref="A4:A7"/>
    <mergeCell ref="B4:B7"/>
    <mergeCell ref="C4:C7"/>
    <mergeCell ref="D4:D7"/>
    <mergeCell ref="X4:AN4"/>
    <mergeCell ref="AA6:AB6"/>
    <mergeCell ref="AH5:AH6"/>
    <mergeCell ref="AI5:AJ5"/>
    <mergeCell ref="AK5:AK6"/>
    <mergeCell ref="AL5:AL6"/>
    <mergeCell ref="Q6:S6"/>
    <mergeCell ref="J5:W5"/>
    <mergeCell ref="A25:B25"/>
    <mergeCell ref="A9:A14"/>
    <mergeCell ref="B9:B14"/>
    <mergeCell ref="C9:C10"/>
    <mergeCell ref="C11:C13"/>
    <mergeCell ref="A15:A16"/>
    <mergeCell ref="B15:B16"/>
    <mergeCell ref="C17:C18"/>
    <mergeCell ref="C19:C21"/>
    <mergeCell ref="B17:B22"/>
  </mergeCells>
  <conditionalFormatting sqref="AO9:AO22">
    <cfRule type="cellIs" dxfId="13" priority="2" operator="lessThan">
      <formula>0</formula>
    </cfRule>
  </conditionalFormatting>
  <pageMargins left="0.25" right="0.25" top="0.75" bottom="0.75" header="0.3" footer="0.3"/>
  <pageSetup paperSize="9" scale="57" fitToWidth="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sheetPr>
  <dimension ref="A1:S33"/>
  <sheetViews>
    <sheetView zoomScale="87" zoomScaleNormal="87" workbookViewId="0">
      <selection activeCell="D10" sqref="D10"/>
    </sheetView>
  </sheetViews>
  <sheetFormatPr defaultRowHeight="15" x14ac:dyDescent="0.25"/>
  <cols>
    <col min="1" max="1" width="3.28515625" style="246" customWidth="1"/>
    <col min="2" max="2" width="7.28515625" style="246" bestFit="1" customWidth="1"/>
    <col min="3" max="3" width="20.42578125" style="246" customWidth="1"/>
    <col min="4" max="4" width="12.7109375" style="246" customWidth="1"/>
    <col min="5" max="5" width="11.28515625" style="246" customWidth="1"/>
    <col min="6" max="6" width="11.7109375" style="246" customWidth="1"/>
    <col min="7" max="7" width="12.140625" style="246" bestFit="1" customWidth="1"/>
    <col min="8" max="8" width="12.140625" style="246" customWidth="1"/>
    <col min="9" max="9" width="14" style="246" customWidth="1"/>
    <col min="10" max="11" width="15.5703125" style="146" customWidth="1"/>
    <col min="12" max="12" width="13" style="146" customWidth="1"/>
    <col min="13" max="13" width="15.28515625" style="146" customWidth="1"/>
    <col min="14" max="14" width="11.28515625" style="146" customWidth="1"/>
    <col min="15" max="15" width="15.85546875" style="146" customWidth="1"/>
    <col min="16" max="16" width="11.7109375" style="146" customWidth="1"/>
    <col min="17" max="17" width="13.85546875" style="146" customWidth="1"/>
    <col min="18" max="18" width="14.140625" style="146" customWidth="1"/>
    <col min="19" max="19" width="17.7109375" style="146" customWidth="1"/>
    <col min="20" max="261" width="8.85546875" style="146"/>
    <col min="262" max="262" width="3.28515625" style="146" customWidth="1"/>
    <col min="263" max="263" width="7.28515625" style="146" bestFit="1" customWidth="1"/>
    <col min="264" max="264" width="11.28515625" style="146" customWidth="1"/>
    <col min="265" max="265" width="11.7109375" style="146" customWidth="1"/>
    <col min="266" max="266" width="10.28515625" style="146" customWidth="1"/>
    <col min="267" max="267" width="6.140625" style="146" customWidth="1"/>
    <col min="268" max="268" width="11.28515625" style="146" customWidth="1"/>
    <col min="269" max="269" width="12.7109375" style="146" customWidth="1"/>
    <col min="270" max="271" width="11.28515625" style="146" customWidth="1"/>
    <col min="272" max="272" width="11.7109375" style="146" customWidth="1"/>
    <col min="273" max="273" width="11" style="146" customWidth="1"/>
    <col min="274" max="274" width="11.28515625" style="146" customWidth="1"/>
    <col min="275" max="275" width="17.7109375" style="146" customWidth="1"/>
    <col min="276" max="517" width="8.85546875" style="146"/>
    <col min="518" max="518" width="3.28515625" style="146" customWidth="1"/>
    <col min="519" max="519" width="7.28515625" style="146" bestFit="1" customWidth="1"/>
    <col min="520" max="520" width="11.28515625" style="146" customWidth="1"/>
    <col min="521" max="521" width="11.7109375" style="146" customWidth="1"/>
    <col min="522" max="522" width="10.28515625" style="146" customWidth="1"/>
    <col min="523" max="523" width="6.140625" style="146" customWidth="1"/>
    <col min="524" max="524" width="11.28515625" style="146" customWidth="1"/>
    <col min="525" max="525" width="12.7109375" style="146" customWidth="1"/>
    <col min="526" max="527" width="11.28515625" style="146" customWidth="1"/>
    <col min="528" max="528" width="11.7109375" style="146" customWidth="1"/>
    <col min="529" max="529" width="11" style="146" customWidth="1"/>
    <col min="530" max="530" width="11.28515625" style="146" customWidth="1"/>
    <col min="531" max="531" width="17.7109375" style="146" customWidth="1"/>
    <col min="532" max="773" width="8.85546875" style="146"/>
    <col min="774" max="774" width="3.28515625" style="146" customWidth="1"/>
    <col min="775" max="775" width="7.28515625" style="146" bestFit="1" customWidth="1"/>
    <col min="776" max="776" width="11.28515625" style="146" customWidth="1"/>
    <col min="777" max="777" width="11.7109375" style="146" customWidth="1"/>
    <col min="778" max="778" width="10.28515625" style="146" customWidth="1"/>
    <col min="779" max="779" width="6.140625" style="146" customWidth="1"/>
    <col min="780" max="780" width="11.28515625" style="146" customWidth="1"/>
    <col min="781" max="781" width="12.7109375" style="146" customWidth="1"/>
    <col min="782" max="783" width="11.28515625" style="146" customWidth="1"/>
    <col min="784" max="784" width="11.7109375" style="146" customWidth="1"/>
    <col min="785" max="785" width="11" style="146" customWidth="1"/>
    <col min="786" max="786" width="11.28515625" style="146" customWidth="1"/>
    <col min="787" max="787" width="17.7109375" style="146" customWidth="1"/>
    <col min="788" max="1029" width="8.85546875" style="146"/>
    <col min="1030" max="1030" width="3.28515625" style="146" customWidth="1"/>
    <col min="1031" max="1031" width="7.28515625" style="146" bestFit="1" customWidth="1"/>
    <col min="1032" max="1032" width="11.28515625" style="146" customWidth="1"/>
    <col min="1033" max="1033" width="11.7109375" style="146" customWidth="1"/>
    <col min="1034" max="1034" width="10.28515625" style="146" customWidth="1"/>
    <col min="1035" max="1035" width="6.140625" style="146" customWidth="1"/>
    <col min="1036" max="1036" width="11.28515625" style="146" customWidth="1"/>
    <col min="1037" max="1037" width="12.7109375" style="146" customWidth="1"/>
    <col min="1038" max="1039" width="11.28515625" style="146" customWidth="1"/>
    <col min="1040" max="1040" width="11.7109375" style="146" customWidth="1"/>
    <col min="1041" max="1041" width="11" style="146" customWidth="1"/>
    <col min="1042" max="1042" width="11.28515625" style="146" customWidth="1"/>
    <col min="1043" max="1043" width="17.7109375" style="146" customWidth="1"/>
    <col min="1044" max="1285" width="8.85546875" style="146"/>
    <col min="1286" max="1286" width="3.28515625" style="146" customWidth="1"/>
    <col min="1287" max="1287" width="7.28515625" style="146" bestFit="1" customWidth="1"/>
    <col min="1288" max="1288" width="11.28515625" style="146" customWidth="1"/>
    <col min="1289" max="1289" width="11.7109375" style="146" customWidth="1"/>
    <col min="1290" max="1290" width="10.28515625" style="146" customWidth="1"/>
    <col min="1291" max="1291" width="6.140625" style="146" customWidth="1"/>
    <col min="1292" max="1292" width="11.28515625" style="146" customWidth="1"/>
    <col min="1293" max="1293" width="12.7109375" style="146" customWidth="1"/>
    <col min="1294" max="1295" width="11.28515625" style="146" customWidth="1"/>
    <col min="1296" max="1296" width="11.7109375" style="146" customWidth="1"/>
    <col min="1297" max="1297" width="11" style="146" customWidth="1"/>
    <col min="1298" max="1298" width="11.28515625" style="146" customWidth="1"/>
    <col min="1299" max="1299" width="17.7109375" style="146" customWidth="1"/>
    <col min="1300" max="1541" width="8.85546875" style="146"/>
    <col min="1542" max="1542" width="3.28515625" style="146" customWidth="1"/>
    <col min="1543" max="1543" width="7.28515625" style="146" bestFit="1" customWidth="1"/>
    <col min="1544" max="1544" width="11.28515625" style="146" customWidth="1"/>
    <col min="1545" max="1545" width="11.7109375" style="146" customWidth="1"/>
    <col min="1546" max="1546" width="10.28515625" style="146" customWidth="1"/>
    <col min="1547" max="1547" width="6.140625" style="146" customWidth="1"/>
    <col min="1548" max="1548" width="11.28515625" style="146" customWidth="1"/>
    <col min="1549" max="1549" width="12.7109375" style="146" customWidth="1"/>
    <col min="1550" max="1551" width="11.28515625" style="146" customWidth="1"/>
    <col min="1552" max="1552" width="11.7109375" style="146" customWidth="1"/>
    <col min="1553" max="1553" width="11" style="146" customWidth="1"/>
    <col min="1554" max="1554" width="11.28515625" style="146" customWidth="1"/>
    <col min="1555" max="1555" width="17.7109375" style="146" customWidth="1"/>
    <col min="1556" max="1797" width="8.85546875" style="146"/>
    <col min="1798" max="1798" width="3.28515625" style="146" customWidth="1"/>
    <col min="1799" max="1799" width="7.28515625" style="146" bestFit="1" customWidth="1"/>
    <col min="1800" max="1800" width="11.28515625" style="146" customWidth="1"/>
    <col min="1801" max="1801" width="11.7109375" style="146" customWidth="1"/>
    <col min="1802" max="1802" width="10.28515625" style="146" customWidth="1"/>
    <col min="1803" max="1803" width="6.140625" style="146" customWidth="1"/>
    <col min="1804" max="1804" width="11.28515625" style="146" customWidth="1"/>
    <col min="1805" max="1805" width="12.7109375" style="146" customWidth="1"/>
    <col min="1806" max="1807" width="11.28515625" style="146" customWidth="1"/>
    <col min="1808" max="1808" width="11.7109375" style="146" customWidth="1"/>
    <col min="1809" max="1809" width="11" style="146" customWidth="1"/>
    <col min="1810" max="1810" width="11.28515625" style="146" customWidth="1"/>
    <col min="1811" max="1811" width="17.7109375" style="146" customWidth="1"/>
    <col min="1812" max="2053" width="8.85546875" style="146"/>
    <col min="2054" max="2054" width="3.28515625" style="146" customWidth="1"/>
    <col min="2055" max="2055" width="7.28515625" style="146" bestFit="1" customWidth="1"/>
    <col min="2056" max="2056" width="11.28515625" style="146" customWidth="1"/>
    <col min="2057" max="2057" width="11.7109375" style="146" customWidth="1"/>
    <col min="2058" max="2058" width="10.28515625" style="146" customWidth="1"/>
    <col min="2059" max="2059" width="6.140625" style="146" customWidth="1"/>
    <col min="2060" max="2060" width="11.28515625" style="146" customWidth="1"/>
    <col min="2061" max="2061" width="12.7109375" style="146" customWidth="1"/>
    <col min="2062" max="2063" width="11.28515625" style="146" customWidth="1"/>
    <col min="2064" max="2064" width="11.7109375" style="146" customWidth="1"/>
    <col min="2065" max="2065" width="11" style="146" customWidth="1"/>
    <col min="2066" max="2066" width="11.28515625" style="146" customWidth="1"/>
    <col min="2067" max="2067" width="17.7109375" style="146" customWidth="1"/>
    <col min="2068" max="2309" width="8.85546875" style="146"/>
    <col min="2310" max="2310" width="3.28515625" style="146" customWidth="1"/>
    <col min="2311" max="2311" width="7.28515625" style="146" bestFit="1" customWidth="1"/>
    <col min="2312" max="2312" width="11.28515625" style="146" customWidth="1"/>
    <col min="2313" max="2313" width="11.7109375" style="146" customWidth="1"/>
    <col min="2314" max="2314" width="10.28515625" style="146" customWidth="1"/>
    <col min="2315" max="2315" width="6.140625" style="146" customWidth="1"/>
    <col min="2316" max="2316" width="11.28515625" style="146" customWidth="1"/>
    <col min="2317" max="2317" width="12.7109375" style="146" customWidth="1"/>
    <col min="2318" max="2319" width="11.28515625" style="146" customWidth="1"/>
    <col min="2320" max="2320" width="11.7109375" style="146" customWidth="1"/>
    <col min="2321" max="2321" width="11" style="146" customWidth="1"/>
    <col min="2322" max="2322" width="11.28515625" style="146" customWidth="1"/>
    <col min="2323" max="2323" width="17.7109375" style="146" customWidth="1"/>
    <col min="2324" max="2565" width="8.85546875" style="146"/>
    <col min="2566" max="2566" width="3.28515625" style="146" customWidth="1"/>
    <col min="2567" max="2567" width="7.28515625" style="146" bestFit="1" customWidth="1"/>
    <col min="2568" max="2568" width="11.28515625" style="146" customWidth="1"/>
    <col min="2569" max="2569" width="11.7109375" style="146" customWidth="1"/>
    <col min="2570" max="2570" width="10.28515625" style="146" customWidth="1"/>
    <col min="2571" max="2571" width="6.140625" style="146" customWidth="1"/>
    <col min="2572" max="2572" width="11.28515625" style="146" customWidth="1"/>
    <col min="2573" max="2573" width="12.7109375" style="146" customWidth="1"/>
    <col min="2574" max="2575" width="11.28515625" style="146" customWidth="1"/>
    <col min="2576" max="2576" width="11.7109375" style="146" customWidth="1"/>
    <col min="2577" max="2577" width="11" style="146" customWidth="1"/>
    <col min="2578" max="2578" width="11.28515625" style="146" customWidth="1"/>
    <col min="2579" max="2579" width="17.7109375" style="146" customWidth="1"/>
    <col min="2580" max="2821" width="8.85546875" style="146"/>
    <col min="2822" max="2822" width="3.28515625" style="146" customWidth="1"/>
    <col min="2823" max="2823" width="7.28515625" style="146" bestFit="1" customWidth="1"/>
    <col min="2824" max="2824" width="11.28515625" style="146" customWidth="1"/>
    <col min="2825" max="2825" width="11.7109375" style="146" customWidth="1"/>
    <col min="2826" max="2826" width="10.28515625" style="146" customWidth="1"/>
    <col min="2827" max="2827" width="6.140625" style="146" customWidth="1"/>
    <col min="2828" max="2828" width="11.28515625" style="146" customWidth="1"/>
    <col min="2829" max="2829" width="12.7109375" style="146" customWidth="1"/>
    <col min="2830" max="2831" width="11.28515625" style="146" customWidth="1"/>
    <col min="2832" max="2832" width="11.7109375" style="146" customWidth="1"/>
    <col min="2833" max="2833" width="11" style="146" customWidth="1"/>
    <col min="2834" max="2834" width="11.28515625" style="146" customWidth="1"/>
    <col min="2835" max="2835" width="17.7109375" style="146" customWidth="1"/>
    <col min="2836" max="3077" width="8.85546875" style="146"/>
    <col min="3078" max="3078" width="3.28515625" style="146" customWidth="1"/>
    <col min="3079" max="3079" width="7.28515625" style="146" bestFit="1" customWidth="1"/>
    <col min="3080" max="3080" width="11.28515625" style="146" customWidth="1"/>
    <col min="3081" max="3081" width="11.7109375" style="146" customWidth="1"/>
    <col min="3082" max="3082" width="10.28515625" style="146" customWidth="1"/>
    <col min="3083" max="3083" width="6.140625" style="146" customWidth="1"/>
    <col min="3084" max="3084" width="11.28515625" style="146" customWidth="1"/>
    <col min="3085" max="3085" width="12.7109375" style="146" customWidth="1"/>
    <col min="3086" max="3087" width="11.28515625" style="146" customWidth="1"/>
    <col min="3088" max="3088" width="11.7109375" style="146" customWidth="1"/>
    <col min="3089" max="3089" width="11" style="146" customWidth="1"/>
    <col min="3090" max="3090" width="11.28515625" style="146" customWidth="1"/>
    <col min="3091" max="3091" width="17.7109375" style="146" customWidth="1"/>
    <col min="3092" max="3333" width="8.85546875" style="146"/>
    <col min="3334" max="3334" width="3.28515625" style="146" customWidth="1"/>
    <col min="3335" max="3335" width="7.28515625" style="146" bestFit="1" customWidth="1"/>
    <col min="3336" max="3336" width="11.28515625" style="146" customWidth="1"/>
    <col min="3337" max="3337" width="11.7109375" style="146" customWidth="1"/>
    <col min="3338" max="3338" width="10.28515625" style="146" customWidth="1"/>
    <col min="3339" max="3339" width="6.140625" style="146" customWidth="1"/>
    <col min="3340" max="3340" width="11.28515625" style="146" customWidth="1"/>
    <col min="3341" max="3341" width="12.7109375" style="146" customWidth="1"/>
    <col min="3342" max="3343" width="11.28515625" style="146" customWidth="1"/>
    <col min="3344" max="3344" width="11.7109375" style="146" customWidth="1"/>
    <col min="3345" max="3345" width="11" style="146" customWidth="1"/>
    <col min="3346" max="3346" width="11.28515625" style="146" customWidth="1"/>
    <col min="3347" max="3347" width="17.7109375" style="146" customWidth="1"/>
    <col min="3348" max="3589" width="8.85546875" style="146"/>
    <col min="3590" max="3590" width="3.28515625" style="146" customWidth="1"/>
    <col min="3591" max="3591" width="7.28515625" style="146" bestFit="1" customWidth="1"/>
    <col min="3592" max="3592" width="11.28515625" style="146" customWidth="1"/>
    <col min="3593" max="3593" width="11.7109375" style="146" customWidth="1"/>
    <col min="3594" max="3594" width="10.28515625" style="146" customWidth="1"/>
    <col min="3595" max="3595" width="6.140625" style="146" customWidth="1"/>
    <col min="3596" max="3596" width="11.28515625" style="146" customWidth="1"/>
    <col min="3597" max="3597" width="12.7109375" style="146" customWidth="1"/>
    <col min="3598" max="3599" width="11.28515625" style="146" customWidth="1"/>
    <col min="3600" max="3600" width="11.7109375" style="146" customWidth="1"/>
    <col min="3601" max="3601" width="11" style="146" customWidth="1"/>
    <col min="3602" max="3602" width="11.28515625" style="146" customWidth="1"/>
    <col min="3603" max="3603" width="17.7109375" style="146" customWidth="1"/>
    <col min="3604" max="3845" width="8.85546875" style="146"/>
    <col min="3846" max="3846" width="3.28515625" style="146" customWidth="1"/>
    <col min="3847" max="3847" width="7.28515625" style="146" bestFit="1" customWidth="1"/>
    <col min="3848" max="3848" width="11.28515625" style="146" customWidth="1"/>
    <col min="3849" max="3849" width="11.7109375" style="146" customWidth="1"/>
    <col min="3850" max="3850" width="10.28515625" style="146" customWidth="1"/>
    <col min="3851" max="3851" width="6.140625" style="146" customWidth="1"/>
    <col min="3852" max="3852" width="11.28515625" style="146" customWidth="1"/>
    <col min="3853" max="3853" width="12.7109375" style="146" customWidth="1"/>
    <col min="3854" max="3855" width="11.28515625" style="146" customWidth="1"/>
    <col min="3856" max="3856" width="11.7109375" style="146" customWidth="1"/>
    <col min="3857" max="3857" width="11" style="146" customWidth="1"/>
    <col min="3858" max="3858" width="11.28515625" style="146" customWidth="1"/>
    <col min="3859" max="3859" width="17.7109375" style="146" customWidth="1"/>
    <col min="3860" max="4101" width="8.85546875" style="146"/>
    <col min="4102" max="4102" width="3.28515625" style="146" customWidth="1"/>
    <col min="4103" max="4103" width="7.28515625" style="146" bestFit="1" customWidth="1"/>
    <col min="4104" max="4104" width="11.28515625" style="146" customWidth="1"/>
    <col min="4105" max="4105" width="11.7109375" style="146" customWidth="1"/>
    <col min="4106" max="4106" width="10.28515625" style="146" customWidth="1"/>
    <col min="4107" max="4107" width="6.140625" style="146" customWidth="1"/>
    <col min="4108" max="4108" width="11.28515625" style="146" customWidth="1"/>
    <col min="4109" max="4109" width="12.7109375" style="146" customWidth="1"/>
    <col min="4110" max="4111" width="11.28515625" style="146" customWidth="1"/>
    <col min="4112" max="4112" width="11.7109375" style="146" customWidth="1"/>
    <col min="4113" max="4113" width="11" style="146" customWidth="1"/>
    <col min="4114" max="4114" width="11.28515625" style="146" customWidth="1"/>
    <col min="4115" max="4115" width="17.7109375" style="146" customWidth="1"/>
    <col min="4116" max="4357" width="8.85546875" style="146"/>
    <col min="4358" max="4358" width="3.28515625" style="146" customWidth="1"/>
    <col min="4359" max="4359" width="7.28515625" style="146" bestFit="1" customWidth="1"/>
    <col min="4360" max="4360" width="11.28515625" style="146" customWidth="1"/>
    <col min="4361" max="4361" width="11.7109375" style="146" customWidth="1"/>
    <col min="4362" max="4362" width="10.28515625" style="146" customWidth="1"/>
    <col min="4363" max="4363" width="6.140625" style="146" customWidth="1"/>
    <col min="4364" max="4364" width="11.28515625" style="146" customWidth="1"/>
    <col min="4365" max="4365" width="12.7109375" style="146" customWidth="1"/>
    <col min="4366" max="4367" width="11.28515625" style="146" customWidth="1"/>
    <col min="4368" max="4368" width="11.7109375" style="146" customWidth="1"/>
    <col min="4369" max="4369" width="11" style="146" customWidth="1"/>
    <col min="4370" max="4370" width="11.28515625" style="146" customWidth="1"/>
    <col min="4371" max="4371" width="17.7109375" style="146" customWidth="1"/>
    <col min="4372" max="4613" width="8.85546875" style="146"/>
    <col min="4614" max="4614" width="3.28515625" style="146" customWidth="1"/>
    <col min="4615" max="4615" width="7.28515625" style="146" bestFit="1" customWidth="1"/>
    <col min="4616" max="4616" width="11.28515625" style="146" customWidth="1"/>
    <col min="4617" max="4617" width="11.7109375" style="146" customWidth="1"/>
    <col min="4618" max="4618" width="10.28515625" style="146" customWidth="1"/>
    <col min="4619" max="4619" width="6.140625" style="146" customWidth="1"/>
    <col min="4620" max="4620" width="11.28515625" style="146" customWidth="1"/>
    <col min="4621" max="4621" width="12.7109375" style="146" customWidth="1"/>
    <col min="4622" max="4623" width="11.28515625" style="146" customWidth="1"/>
    <col min="4624" max="4624" width="11.7109375" style="146" customWidth="1"/>
    <col min="4625" max="4625" width="11" style="146" customWidth="1"/>
    <col min="4626" max="4626" width="11.28515625" style="146" customWidth="1"/>
    <col min="4627" max="4627" width="17.7109375" style="146" customWidth="1"/>
    <col min="4628" max="4869" width="8.85546875" style="146"/>
    <col min="4870" max="4870" width="3.28515625" style="146" customWidth="1"/>
    <col min="4871" max="4871" width="7.28515625" style="146" bestFit="1" customWidth="1"/>
    <col min="4872" max="4872" width="11.28515625" style="146" customWidth="1"/>
    <col min="4873" max="4873" width="11.7109375" style="146" customWidth="1"/>
    <col min="4874" max="4874" width="10.28515625" style="146" customWidth="1"/>
    <col min="4875" max="4875" width="6.140625" style="146" customWidth="1"/>
    <col min="4876" max="4876" width="11.28515625" style="146" customWidth="1"/>
    <col min="4877" max="4877" width="12.7109375" style="146" customWidth="1"/>
    <col min="4878" max="4879" width="11.28515625" style="146" customWidth="1"/>
    <col min="4880" max="4880" width="11.7109375" style="146" customWidth="1"/>
    <col min="4881" max="4881" width="11" style="146" customWidth="1"/>
    <col min="4882" max="4882" width="11.28515625" style="146" customWidth="1"/>
    <col min="4883" max="4883" width="17.7109375" style="146" customWidth="1"/>
    <col min="4884" max="5125" width="8.85546875" style="146"/>
    <col min="5126" max="5126" width="3.28515625" style="146" customWidth="1"/>
    <col min="5127" max="5127" width="7.28515625" style="146" bestFit="1" customWidth="1"/>
    <col min="5128" max="5128" width="11.28515625" style="146" customWidth="1"/>
    <col min="5129" max="5129" width="11.7109375" style="146" customWidth="1"/>
    <col min="5130" max="5130" width="10.28515625" style="146" customWidth="1"/>
    <col min="5131" max="5131" width="6.140625" style="146" customWidth="1"/>
    <col min="5132" max="5132" width="11.28515625" style="146" customWidth="1"/>
    <col min="5133" max="5133" width="12.7109375" style="146" customWidth="1"/>
    <col min="5134" max="5135" width="11.28515625" style="146" customWidth="1"/>
    <col min="5136" max="5136" width="11.7109375" style="146" customWidth="1"/>
    <col min="5137" max="5137" width="11" style="146" customWidth="1"/>
    <col min="5138" max="5138" width="11.28515625" style="146" customWidth="1"/>
    <col min="5139" max="5139" width="17.7109375" style="146" customWidth="1"/>
    <col min="5140" max="5381" width="8.85546875" style="146"/>
    <col min="5382" max="5382" width="3.28515625" style="146" customWidth="1"/>
    <col min="5383" max="5383" width="7.28515625" style="146" bestFit="1" customWidth="1"/>
    <col min="5384" max="5384" width="11.28515625" style="146" customWidth="1"/>
    <col min="5385" max="5385" width="11.7109375" style="146" customWidth="1"/>
    <col min="5386" max="5386" width="10.28515625" style="146" customWidth="1"/>
    <col min="5387" max="5387" width="6.140625" style="146" customWidth="1"/>
    <col min="5388" max="5388" width="11.28515625" style="146" customWidth="1"/>
    <col min="5389" max="5389" width="12.7109375" style="146" customWidth="1"/>
    <col min="5390" max="5391" width="11.28515625" style="146" customWidth="1"/>
    <col min="5392" max="5392" width="11.7109375" style="146" customWidth="1"/>
    <col min="5393" max="5393" width="11" style="146" customWidth="1"/>
    <col min="5394" max="5394" width="11.28515625" style="146" customWidth="1"/>
    <col min="5395" max="5395" width="17.7109375" style="146" customWidth="1"/>
    <col min="5396" max="5637" width="8.85546875" style="146"/>
    <col min="5638" max="5638" width="3.28515625" style="146" customWidth="1"/>
    <col min="5639" max="5639" width="7.28515625" style="146" bestFit="1" customWidth="1"/>
    <col min="5640" max="5640" width="11.28515625" style="146" customWidth="1"/>
    <col min="5641" max="5641" width="11.7109375" style="146" customWidth="1"/>
    <col min="5642" max="5642" width="10.28515625" style="146" customWidth="1"/>
    <col min="5643" max="5643" width="6.140625" style="146" customWidth="1"/>
    <col min="5644" max="5644" width="11.28515625" style="146" customWidth="1"/>
    <col min="5645" max="5645" width="12.7109375" style="146" customWidth="1"/>
    <col min="5646" max="5647" width="11.28515625" style="146" customWidth="1"/>
    <col min="5648" max="5648" width="11.7109375" style="146" customWidth="1"/>
    <col min="5649" max="5649" width="11" style="146" customWidth="1"/>
    <col min="5650" max="5650" width="11.28515625" style="146" customWidth="1"/>
    <col min="5651" max="5651" width="17.7109375" style="146" customWidth="1"/>
    <col min="5652" max="5893" width="8.85546875" style="146"/>
    <col min="5894" max="5894" width="3.28515625" style="146" customWidth="1"/>
    <col min="5895" max="5895" width="7.28515625" style="146" bestFit="1" customWidth="1"/>
    <col min="5896" max="5896" width="11.28515625" style="146" customWidth="1"/>
    <col min="5897" max="5897" width="11.7109375" style="146" customWidth="1"/>
    <col min="5898" max="5898" width="10.28515625" style="146" customWidth="1"/>
    <col min="5899" max="5899" width="6.140625" style="146" customWidth="1"/>
    <col min="5900" max="5900" width="11.28515625" style="146" customWidth="1"/>
    <col min="5901" max="5901" width="12.7109375" style="146" customWidth="1"/>
    <col min="5902" max="5903" width="11.28515625" style="146" customWidth="1"/>
    <col min="5904" max="5904" width="11.7109375" style="146" customWidth="1"/>
    <col min="5905" max="5905" width="11" style="146" customWidth="1"/>
    <col min="5906" max="5906" width="11.28515625" style="146" customWidth="1"/>
    <col min="5907" max="5907" width="17.7109375" style="146" customWidth="1"/>
    <col min="5908" max="6149" width="8.85546875" style="146"/>
    <col min="6150" max="6150" width="3.28515625" style="146" customWidth="1"/>
    <col min="6151" max="6151" width="7.28515625" style="146" bestFit="1" customWidth="1"/>
    <col min="6152" max="6152" width="11.28515625" style="146" customWidth="1"/>
    <col min="6153" max="6153" width="11.7109375" style="146" customWidth="1"/>
    <col min="6154" max="6154" width="10.28515625" style="146" customWidth="1"/>
    <col min="6155" max="6155" width="6.140625" style="146" customWidth="1"/>
    <col min="6156" max="6156" width="11.28515625" style="146" customWidth="1"/>
    <col min="6157" max="6157" width="12.7109375" style="146" customWidth="1"/>
    <col min="6158" max="6159" width="11.28515625" style="146" customWidth="1"/>
    <col min="6160" max="6160" width="11.7109375" style="146" customWidth="1"/>
    <col min="6161" max="6161" width="11" style="146" customWidth="1"/>
    <col min="6162" max="6162" width="11.28515625" style="146" customWidth="1"/>
    <col min="6163" max="6163" width="17.7109375" style="146" customWidth="1"/>
    <col min="6164" max="6405" width="8.85546875" style="146"/>
    <col min="6406" max="6406" width="3.28515625" style="146" customWidth="1"/>
    <col min="6407" max="6407" width="7.28515625" style="146" bestFit="1" customWidth="1"/>
    <col min="6408" max="6408" width="11.28515625" style="146" customWidth="1"/>
    <col min="6409" max="6409" width="11.7109375" style="146" customWidth="1"/>
    <col min="6410" max="6410" width="10.28515625" style="146" customWidth="1"/>
    <col min="6411" max="6411" width="6.140625" style="146" customWidth="1"/>
    <col min="6412" max="6412" width="11.28515625" style="146" customWidth="1"/>
    <col min="6413" max="6413" width="12.7109375" style="146" customWidth="1"/>
    <col min="6414" max="6415" width="11.28515625" style="146" customWidth="1"/>
    <col min="6416" max="6416" width="11.7109375" style="146" customWidth="1"/>
    <col min="6417" max="6417" width="11" style="146" customWidth="1"/>
    <col min="6418" max="6418" width="11.28515625" style="146" customWidth="1"/>
    <col min="6419" max="6419" width="17.7109375" style="146" customWidth="1"/>
    <col min="6420" max="6661" width="8.85546875" style="146"/>
    <col min="6662" max="6662" width="3.28515625" style="146" customWidth="1"/>
    <col min="6663" max="6663" width="7.28515625" style="146" bestFit="1" customWidth="1"/>
    <col min="6664" max="6664" width="11.28515625" style="146" customWidth="1"/>
    <col min="6665" max="6665" width="11.7109375" style="146" customWidth="1"/>
    <col min="6666" max="6666" width="10.28515625" style="146" customWidth="1"/>
    <col min="6667" max="6667" width="6.140625" style="146" customWidth="1"/>
    <col min="6668" max="6668" width="11.28515625" style="146" customWidth="1"/>
    <col min="6669" max="6669" width="12.7109375" style="146" customWidth="1"/>
    <col min="6670" max="6671" width="11.28515625" style="146" customWidth="1"/>
    <col min="6672" max="6672" width="11.7109375" style="146" customWidth="1"/>
    <col min="6673" max="6673" width="11" style="146" customWidth="1"/>
    <col min="6674" max="6674" width="11.28515625" style="146" customWidth="1"/>
    <col min="6675" max="6675" width="17.7109375" style="146" customWidth="1"/>
    <col min="6676" max="6917" width="8.85546875" style="146"/>
    <col min="6918" max="6918" width="3.28515625" style="146" customWidth="1"/>
    <col min="6919" max="6919" width="7.28515625" style="146" bestFit="1" customWidth="1"/>
    <col min="6920" max="6920" width="11.28515625" style="146" customWidth="1"/>
    <col min="6921" max="6921" width="11.7109375" style="146" customWidth="1"/>
    <col min="6922" max="6922" width="10.28515625" style="146" customWidth="1"/>
    <col min="6923" max="6923" width="6.140625" style="146" customWidth="1"/>
    <col min="6924" max="6924" width="11.28515625" style="146" customWidth="1"/>
    <col min="6925" max="6925" width="12.7109375" style="146" customWidth="1"/>
    <col min="6926" max="6927" width="11.28515625" style="146" customWidth="1"/>
    <col min="6928" max="6928" width="11.7109375" style="146" customWidth="1"/>
    <col min="6929" max="6929" width="11" style="146" customWidth="1"/>
    <col min="6930" max="6930" width="11.28515625" style="146" customWidth="1"/>
    <col min="6931" max="6931" width="17.7109375" style="146" customWidth="1"/>
    <col min="6932" max="7173" width="8.85546875" style="146"/>
    <col min="7174" max="7174" width="3.28515625" style="146" customWidth="1"/>
    <col min="7175" max="7175" width="7.28515625" style="146" bestFit="1" customWidth="1"/>
    <col min="7176" max="7176" width="11.28515625" style="146" customWidth="1"/>
    <col min="7177" max="7177" width="11.7109375" style="146" customWidth="1"/>
    <col min="7178" max="7178" width="10.28515625" style="146" customWidth="1"/>
    <col min="7179" max="7179" width="6.140625" style="146" customWidth="1"/>
    <col min="7180" max="7180" width="11.28515625" style="146" customWidth="1"/>
    <col min="7181" max="7181" width="12.7109375" style="146" customWidth="1"/>
    <col min="7182" max="7183" width="11.28515625" style="146" customWidth="1"/>
    <col min="7184" max="7184" width="11.7109375" style="146" customWidth="1"/>
    <col min="7185" max="7185" width="11" style="146" customWidth="1"/>
    <col min="7186" max="7186" width="11.28515625" style="146" customWidth="1"/>
    <col min="7187" max="7187" width="17.7109375" style="146" customWidth="1"/>
    <col min="7188" max="7429" width="8.85546875" style="146"/>
    <col min="7430" max="7430" width="3.28515625" style="146" customWidth="1"/>
    <col min="7431" max="7431" width="7.28515625" style="146" bestFit="1" customWidth="1"/>
    <col min="7432" max="7432" width="11.28515625" style="146" customWidth="1"/>
    <col min="7433" max="7433" width="11.7109375" style="146" customWidth="1"/>
    <col min="7434" max="7434" width="10.28515625" style="146" customWidth="1"/>
    <col min="7435" max="7435" width="6.140625" style="146" customWidth="1"/>
    <col min="7436" max="7436" width="11.28515625" style="146" customWidth="1"/>
    <col min="7437" max="7437" width="12.7109375" style="146" customWidth="1"/>
    <col min="7438" max="7439" width="11.28515625" style="146" customWidth="1"/>
    <col min="7440" max="7440" width="11.7109375" style="146" customWidth="1"/>
    <col min="7441" max="7441" width="11" style="146" customWidth="1"/>
    <col min="7442" max="7442" width="11.28515625" style="146" customWidth="1"/>
    <col min="7443" max="7443" width="17.7109375" style="146" customWidth="1"/>
    <col min="7444" max="7685" width="8.85546875" style="146"/>
    <col min="7686" max="7686" width="3.28515625" style="146" customWidth="1"/>
    <col min="7687" max="7687" width="7.28515625" style="146" bestFit="1" customWidth="1"/>
    <col min="7688" max="7688" width="11.28515625" style="146" customWidth="1"/>
    <col min="7689" max="7689" width="11.7109375" style="146" customWidth="1"/>
    <col min="7690" max="7690" width="10.28515625" style="146" customWidth="1"/>
    <col min="7691" max="7691" width="6.140625" style="146" customWidth="1"/>
    <col min="7692" max="7692" width="11.28515625" style="146" customWidth="1"/>
    <col min="7693" max="7693" width="12.7109375" style="146" customWidth="1"/>
    <col min="7694" max="7695" width="11.28515625" style="146" customWidth="1"/>
    <col min="7696" max="7696" width="11.7109375" style="146" customWidth="1"/>
    <col min="7697" max="7697" width="11" style="146" customWidth="1"/>
    <col min="7698" max="7698" width="11.28515625" style="146" customWidth="1"/>
    <col min="7699" max="7699" width="17.7109375" style="146" customWidth="1"/>
    <col min="7700" max="7941" width="8.85546875" style="146"/>
    <col min="7942" max="7942" width="3.28515625" style="146" customWidth="1"/>
    <col min="7943" max="7943" width="7.28515625" style="146" bestFit="1" customWidth="1"/>
    <col min="7944" max="7944" width="11.28515625" style="146" customWidth="1"/>
    <col min="7945" max="7945" width="11.7109375" style="146" customWidth="1"/>
    <col min="7946" max="7946" width="10.28515625" style="146" customWidth="1"/>
    <col min="7947" max="7947" width="6.140625" style="146" customWidth="1"/>
    <col min="7948" max="7948" width="11.28515625" style="146" customWidth="1"/>
    <col min="7949" max="7949" width="12.7109375" style="146" customWidth="1"/>
    <col min="7950" max="7951" width="11.28515625" style="146" customWidth="1"/>
    <col min="7952" max="7952" width="11.7109375" style="146" customWidth="1"/>
    <col min="7953" max="7953" width="11" style="146" customWidth="1"/>
    <col min="7954" max="7954" width="11.28515625" style="146" customWidth="1"/>
    <col min="7955" max="7955" width="17.7109375" style="146" customWidth="1"/>
    <col min="7956" max="8197" width="8.85546875" style="146"/>
    <col min="8198" max="8198" width="3.28515625" style="146" customWidth="1"/>
    <col min="8199" max="8199" width="7.28515625" style="146" bestFit="1" customWidth="1"/>
    <col min="8200" max="8200" width="11.28515625" style="146" customWidth="1"/>
    <col min="8201" max="8201" width="11.7109375" style="146" customWidth="1"/>
    <col min="8202" max="8202" width="10.28515625" style="146" customWidth="1"/>
    <col min="8203" max="8203" width="6.140625" style="146" customWidth="1"/>
    <col min="8204" max="8204" width="11.28515625" style="146" customWidth="1"/>
    <col min="8205" max="8205" width="12.7109375" style="146" customWidth="1"/>
    <col min="8206" max="8207" width="11.28515625" style="146" customWidth="1"/>
    <col min="8208" max="8208" width="11.7109375" style="146" customWidth="1"/>
    <col min="8209" max="8209" width="11" style="146" customWidth="1"/>
    <col min="8210" max="8210" width="11.28515625" style="146" customWidth="1"/>
    <col min="8211" max="8211" width="17.7109375" style="146" customWidth="1"/>
    <col min="8212" max="8453" width="8.85546875" style="146"/>
    <col min="8454" max="8454" width="3.28515625" style="146" customWidth="1"/>
    <col min="8455" max="8455" width="7.28515625" style="146" bestFit="1" customWidth="1"/>
    <col min="8456" max="8456" width="11.28515625" style="146" customWidth="1"/>
    <col min="8457" max="8457" width="11.7109375" style="146" customWidth="1"/>
    <col min="8458" max="8458" width="10.28515625" style="146" customWidth="1"/>
    <col min="8459" max="8459" width="6.140625" style="146" customWidth="1"/>
    <col min="8460" max="8460" width="11.28515625" style="146" customWidth="1"/>
    <col min="8461" max="8461" width="12.7109375" style="146" customWidth="1"/>
    <col min="8462" max="8463" width="11.28515625" style="146" customWidth="1"/>
    <col min="8464" max="8464" width="11.7109375" style="146" customWidth="1"/>
    <col min="8465" max="8465" width="11" style="146" customWidth="1"/>
    <col min="8466" max="8466" width="11.28515625" style="146" customWidth="1"/>
    <col min="8467" max="8467" width="17.7109375" style="146" customWidth="1"/>
    <col min="8468" max="8709" width="8.85546875" style="146"/>
    <col min="8710" max="8710" width="3.28515625" style="146" customWidth="1"/>
    <col min="8711" max="8711" width="7.28515625" style="146" bestFit="1" customWidth="1"/>
    <col min="8712" max="8712" width="11.28515625" style="146" customWidth="1"/>
    <col min="8713" max="8713" width="11.7109375" style="146" customWidth="1"/>
    <col min="8714" max="8714" width="10.28515625" style="146" customWidth="1"/>
    <col min="8715" max="8715" width="6.140625" style="146" customWidth="1"/>
    <col min="8716" max="8716" width="11.28515625" style="146" customWidth="1"/>
    <col min="8717" max="8717" width="12.7109375" style="146" customWidth="1"/>
    <col min="8718" max="8719" width="11.28515625" style="146" customWidth="1"/>
    <col min="8720" max="8720" width="11.7109375" style="146" customWidth="1"/>
    <col min="8721" max="8721" width="11" style="146" customWidth="1"/>
    <col min="8722" max="8722" width="11.28515625" style="146" customWidth="1"/>
    <col min="8723" max="8723" width="17.7109375" style="146" customWidth="1"/>
    <col min="8724" max="8965" width="8.85546875" style="146"/>
    <col min="8966" max="8966" width="3.28515625" style="146" customWidth="1"/>
    <col min="8967" max="8967" width="7.28515625" style="146" bestFit="1" customWidth="1"/>
    <col min="8968" max="8968" width="11.28515625" style="146" customWidth="1"/>
    <col min="8969" max="8969" width="11.7109375" style="146" customWidth="1"/>
    <col min="8970" max="8970" width="10.28515625" style="146" customWidth="1"/>
    <col min="8971" max="8971" width="6.140625" style="146" customWidth="1"/>
    <col min="8972" max="8972" width="11.28515625" style="146" customWidth="1"/>
    <col min="8973" max="8973" width="12.7109375" style="146" customWidth="1"/>
    <col min="8974" max="8975" width="11.28515625" style="146" customWidth="1"/>
    <col min="8976" max="8976" width="11.7109375" style="146" customWidth="1"/>
    <col min="8977" max="8977" width="11" style="146" customWidth="1"/>
    <col min="8978" max="8978" width="11.28515625" style="146" customWidth="1"/>
    <col min="8979" max="8979" width="17.7109375" style="146" customWidth="1"/>
    <col min="8980" max="9221" width="8.85546875" style="146"/>
    <col min="9222" max="9222" width="3.28515625" style="146" customWidth="1"/>
    <col min="9223" max="9223" width="7.28515625" style="146" bestFit="1" customWidth="1"/>
    <col min="9224" max="9224" width="11.28515625" style="146" customWidth="1"/>
    <col min="9225" max="9225" width="11.7109375" style="146" customWidth="1"/>
    <col min="9226" max="9226" width="10.28515625" style="146" customWidth="1"/>
    <col min="9227" max="9227" width="6.140625" style="146" customWidth="1"/>
    <col min="9228" max="9228" width="11.28515625" style="146" customWidth="1"/>
    <col min="9229" max="9229" width="12.7109375" style="146" customWidth="1"/>
    <col min="9230" max="9231" width="11.28515625" style="146" customWidth="1"/>
    <col min="9232" max="9232" width="11.7109375" style="146" customWidth="1"/>
    <col min="9233" max="9233" width="11" style="146" customWidth="1"/>
    <col min="9234" max="9234" width="11.28515625" style="146" customWidth="1"/>
    <col min="9235" max="9235" width="17.7109375" style="146" customWidth="1"/>
    <col min="9236" max="9477" width="8.85546875" style="146"/>
    <col min="9478" max="9478" width="3.28515625" style="146" customWidth="1"/>
    <col min="9479" max="9479" width="7.28515625" style="146" bestFit="1" customWidth="1"/>
    <col min="9480" max="9480" width="11.28515625" style="146" customWidth="1"/>
    <col min="9481" max="9481" width="11.7109375" style="146" customWidth="1"/>
    <col min="9482" max="9482" width="10.28515625" style="146" customWidth="1"/>
    <col min="9483" max="9483" width="6.140625" style="146" customWidth="1"/>
    <col min="9484" max="9484" width="11.28515625" style="146" customWidth="1"/>
    <col min="9485" max="9485" width="12.7109375" style="146" customWidth="1"/>
    <col min="9486" max="9487" width="11.28515625" style="146" customWidth="1"/>
    <col min="9488" max="9488" width="11.7109375" style="146" customWidth="1"/>
    <col min="9489" max="9489" width="11" style="146" customWidth="1"/>
    <col min="9490" max="9490" width="11.28515625" style="146" customWidth="1"/>
    <col min="9491" max="9491" width="17.7109375" style="146" customWidth="1"/>
    <col min="9492" max="9733" width="8.85546875" style="146"/>
    <col min="9734" max="9734" width="3.28515625" style="146" customWidth="1"/>
    <col min="9735" max="9735" width="7.28515625" style="146" bestFit="1" customWidth="1"/>
    <col min="9736" max="9736" width="11.28515625" style="146" customWidth="1"/>
    <col min="9737" max="9737" width="11.7109375" style="146" customWidth="1"/>
    <col min="9738" max="9738" width="10.28515625" style="146" customWidth="1"/>
    <col min="9739" max="9739" width="6.140625" style="146" customWidth="1"/>
    <col min="9740" max="9740" width="11.28515625" style="146" customWidth="1"/>
    <col min="9741" max="9741" width="12.7109375" style="146" customWidth="1"/>
    <col min="9742" max="9743" width="11.28515625" style="146" customWidth="1"/>
    <col min="9744" max="9744" width="11.7109375" style="146" customWidth="1"/>
    <col min="9745" max="9745" width="11" style="146" customWidth="1"/>
    <col min="9746" max="9746" width="11.28515625" style="146" customWidth="1"/>
    <col min="9747" max="9747" width="17.7109375" style="146" customWidth="1"/>
    <col min="9748" max="9989" width="8.85546875" style="146"/>
    <col min="9990" max="9990" width="3.28515625" style="146" customWidth="1"/>
    <col min="9991" max="9991" width="7.28515625" style="146" bestFit="1" customWidth="1"/>
    <col min="9992" max="9992" width="11.28515625" style="146" customWidth="1"/>
    <col min="9993" max="9993" width="11.7109375" style="146" customWidth="1"/>
    <col min="9994" max="9994" width="10.28515625" style="146" customWidth="1"/>
    <col min="9995" max="9995" width="6.140625" style="146" customWidth="1"/>
    <col min="9996" max="9996" width="11.28515625" style="146" customWidth="1"/>
    <col min="9997" max="9997" width="12.7109375" style="146" customWidth="1"/>
    <col min="9998" max="9999" width="11.28515625" style="146" customWidth="1"/>
    <col min="10000" max="10000" width="11.7109375" style="146" customWidth="1"/>
    <col min="10001" max="10001" width="11" style="146" customWidth="1"/>
    <col min="10002" max="10002" width="11.28515625" style="146" customWidth="1"/>
    <col min="10003" max="10003" width="17.7109375" style="146" customWidth="1"/>
    <col min="10004" max="10245" width="8.85546875" style="146"/>
    <col min="10246" max="10246" width="3.28515625" style="146" customWidth="1"/>
    <col min="10247" max="10247" width="7.28515625" style="146" bestFit="1" customWidth="1"/>
    <col min="10248" max="10248" width="11.28515625" style="146" customWidth="1"/>
    <col min="10249" max="10249" width="11.7109375" style="146" customWidth="1"/>
    <col min="10250" max="10250" width="10.28515625" style="146" customWidth="1"/>
    <col min="10251" max="10251" width="6.140625" style="146" customWidth="1"/>
    <col min="10252" max="10252" width="11.28515625" style="146" customWidth="1"/>
    <col min="10253" max="10253" width="12.7109375" style="146" customWidth="1"/>
    <col min="10254" max="10255" width="11.28515625" style="146" customWidth="1"/>
    <col min="10256" max="10256" width="11.7109375" style="146" customWidth="1"/>
    <col min="10257" max="10257" width="11" style="146" customWidth="1"/>
    <col min="10258" max="10258" width="11.28515625" style="146" customWidth="1"/>
    <col min="10259" max="10259" width="17.7109375" style="146" customWidth="1"/>
    <col min="10260" max="10501" width="8.85546875" style="146"/>
    <col min="10502" max="10502" width="3.28515625" style="146" customWidth="1"/>
    <col min="10503" max="10503" width="7.28515625" style="146" bestFit="1" customWidth="1"/>
    <col min="10504" max="10504" width="11.28515625" style="146" customWidth="1"/>
    <col min="10505" max="10505" width="11.7109375" style="146" customWidth="1"/>
    <col min="10506" max="10506" width="10.28515625" style="146" customWidth="1"/>
    <col min="10507" max="10507" width="6.140625" style="146" customWidth="1"/>
    <col min="10508" max="10508" width="11.28515625" style="146" customWidth="1"/>
    <col min="10509" max="10509" width="12.7109375" style="146" customWidth="1"/>
    <col min="10510" max="10511" width="11.28515625" style="146" customWidth="1"/>
    <col min="10512" max="10512" width="11.7109375" style="146" customWidth="1"/>
    <col min="10513" max="10513" width="11" style="146" customWidth="1"/>
    <col min="10514" max="10514" width="11.28515625" style="146" customWidth="1"/>
    <col min="10515" max="10515" width="17.7109375" style="146" customWidth="1"/>
    <col min="10516" max="10757" width="8.85546875" style="146"/>
    <col min="10758" max="10758" width="3.28515625" style="146" customWidth="1"/>
    <col min="10759" max="10759" width="7.28515625" style="146" bestFit="1" customWidth="1"/>
    <col min="10760" max="10760" width="11.28515625" style="146" customWidth="1"/>
    <col min="10761" max="10761" width="11.7109375" style="146" customWidth="1"/>
    <col min="10762" max="10762" width="10.28515625" style="146" customWidth="1"/>
    <col min="10763" max="10763" width="6.140625" style="146" customWidth="1"/>
    <col min="10764" max="10764" width="11.28515625" style="146" customWidth="1"/>
    <col min="10765" max="10765" width="12.7109375" style="146" customWidth="1"/>
    <col min="10766" max="10767" width="11.28515625" style="146" customWidth="1"/>
    <col min="10768" max="10768" width="11.7109375" style="146" customWidth="1"/>
    <col min="10769" max="10769" width="11" style="146" customWidth="1"/>
    <col min="10770" max="10770" width="11.28515625" style="146" customWidth="1"/>
    <col min="10771" max="10771" width="17.7109375" style="146" customWidth="1"/>
    <col min="10772" max="11013" width="8.85546875" style="146"/>
    <col min="11014" max="11014" width="3.28515625" style="146" customWidth="1"/>
    <col min="11015" max="11015" width="7.28515625" style="146" bestFit="1" customWidth="1"/>
    <col min="11016" max="11016" width="11.28515625" style="146" customWidth="1"/>
    <col min="11017" max="11017" width="11.7109375" style="146" customWidth="1"/>
    <col min="11018" max="11018" width="10.28515625" style="146" customWidth="1"/>
    <col min="11019" max="11019" width="6.140625" style="146" customWidth="1"/>
    <col min="11020" max="11020" width="11.28515625" style="146" customWidth="1"/>
    <col min="11021" max="11021" width="12.7109375" style="146" customWidth="1"/>
    <col min="11022" max="11023" width="11.28515625" style="146" customWidth="1"/>
    <col min="11024" max="11024" width="11.7109375" style="146" customWidth="1"/>
    <col min="11025" max="11025" width="11" style="146" customWidth="1"/>
    <col min="11026" max="11026" width="11.28515625" style="146" customWidth="1"/>
    <col min="11027" max="11027" width="17.7109375" style="146" customWidth="1"/>
    <col min="11028" max="11269" width="8.85546875" style="146"/>
    <col min="11270" max="11270" width="3.28515625" style="146" customWidth="1"/>
    <col min="11271" max="11271" width="7.28515625" style="146" bestFit="1" customWidth="1"/>
    <col min="11272" max="11272" width="11.28515625" style="146" customWidth="1"/>
    <col min="11273" max="11273" width="11.7109375" style="146" customWidth="1"/>
    <col min="11274" max="11274" width="10.28515625" style="146" customWidth="1"/>
    <col min="11275" max="11275" width="6.140625" style="146" customWidth="1"/>
    <col min="11276" max="11276" width="11.28515625" style="146" customWidth="1"/>
    <col min="11277" max="11277" width="12.7109375" style="146" customWidth="1"/>
    <col min="11278" max="11279" width="11.28515625" style="146" customWidth="1"/>
    <col min="11280" max="11280" width="11.7109375" style="146" customWidth="1"/>
    <col min="11281" max="11281" width="11" style="146" customWidth="1"/>
    <col min="11282" max="11282" width="11.28515625" style="146" customWidth="1"/>
    <col min="11283" max="11283" width="17.7109375" style="146" customWidth="1"/>
    <col min="11284" max="11525" width="8.85546875" style="146"/>
    <col min="11526" max="11526" width="3.28515625" style="146" customWidth="1"/>
    <col min="11527" max="11527" width="7.28515625" style="146" bestFit="1" customWidth="1"/>
    <col min="11528" max="11528" width="11.28515625" style="146" customWidth="1"/>
    <col min="11529" max="11529" width="11.7109375" style="146" customWidth="1"/>
    <col min="11530" max="11530" width="10.28515625" style="146" customWidth="1"/>
    <col min="11531" max="11531" width="6.140625" style="146" customWidth="1"/>
    <col min="11532" max="11532" width="11.28515625" style="146" customWidth="1"/>
    <col min="11533" max="11533" width="12.7109375" style="146" customWidth="1"/>
    <col min="11534" max="11535" width="11.28515625" style="146" customWidth="1"/>
    <col min="11536" max="11536" width="11.7109375" style="146" customWidth="1"/>
    <col min="11537" max="11537" width="11" style="146" customWidth="1"/>
    <col min="11538" max="11538" width="11.28515625" style="146" customWidth="1"/>
    <col min="11539" max="11539" width="17.7109375" style="146" customWidth="1"/>
    <col min="11540" max="11781" width="8.85546875" style="146"/>
    <col min="11782" max="11782" width="3.28515625" style="146" customWidth="1"/>
    <col min="11783" max="11783" width="7.28515625" style="146" bestFit="1" customWidth="1"/>
    <col min="11784" max="11784" width="11.28515625" style="146" customWidth="1"/>
    <col min="11785" max="11785" width="11.7109375" style="146" customWidth="1"/>
    <col min="11786" max="11786" width="10.28515625" style="146" customWidth="1"/>
    <col min="11787" max="11787" width="6.140625" style="146" customWidth="1"/>
    <col min="11788" max="11788" width="11.28515625" style="146" customWidth="1"/>
    <col min="11789" max="11789" width="12.7109375" style="146" customWidth="1"/>
    <col min="11790" max="11791" width="11.28515625" style="146" customWidth="1"/>
    <col min="11792" max="11792" width="11.7109375" style="146" customWidth="1"/>
    <col min="11793" max="11793" width="11" style="146" customWidth="1"/>
    <col min="11794" max="11794" width="11.28515625" style="146" customWidth="1"/>
    <col min="11795" max="11795" width="17.7109375" style="146" customWidth="1"/>
    <col min="11796" max="12037" width="8.85546875" style="146"/>
    <col min="12038" max="12038" width="3.28515625" style="146" customWidth="1"/>
    <col min="12039" max="12039" width="7.28515625" style="146" bestFit="1" customWidth="1"/>
    <col min="12040" max="12040" width="11.28515625" style="146" customWidth="1"/>
    <col min="12041" max="12041" width="11.7109375" style="146" customWidth="1"/>
    <col min="12042" max="12042" width="10.28515625" style="146" customWidth="1"/>
    <col min="12043" max="12043" width="6.140625" style="146" customWidth="1"/>
    <col min="12044" max="12044" width="11.28515625" style="146" customWidth="1"/>
    <col min="12045" max="12045" width="12.7109375" style="146" customWidth="1"/>
    <col min="12046" max="12047" width="11.28515625" style="146" customWidth="1"/>
    <col min="12048" max="12048" width="11.7109375" style="146" customWidth="1"/>
    <col min="12049" max="12049" width="11" style="146" customWidth="1"/>
    <col min="12050" max="12050" width="11.28515625" style="146" customWidth="1"/>
    <col min="12051" max="12051" width="17.7109375" style="146" customWidth="1"/>
    <col min="12052" max="12293" width="8.85546875" style="146"/>
    <col min="12294" max="12294" width="3.28515625" style="146" customWidth="1"/>
    <col min="12295" max="12295" width="7.28515625" style="146" bestFit="1" customWidth="1"/>
    <col min="12296" max="12296" width="11.28515625" style="146" customWidth="1"/>
    <col min="12297" max="12297" width="11.7109375" style="146" customWidth="1"/>
    <col min="12298" max="12298" width="10.28515625" style="146" customWidth="1"/>
    <col min="12299" max="12299" width="6.140625" style="146" customWidth="1"/>
    <col min="12300" max="12300" width="11.28515625" style="146" customWidth="1"/>
    <col min="12301" max="12301" width="12.7109375" style="146" customWidth="1"/>
    <col min="12302" max="12303" width="11.28515625" style="146" customWidth="1"/>
    <col min="12304" max="12304" width="11.7109375" style="146" customWidth="1"/>
    <col min="12305" max="12305" width="11" style="146" customWidth="1"/>
    <col min="12306" max="12306" width="11.28515625" style="146" customWidth="1"/>
    <col min="12307" max="12307" width="17.7109375" style="146" customWidth="1"/>
    <col min="12308" max="12549" width="8.85546875" style="146"/>
    <col min="12550" max="12550" width="3.28515625" style="146" customWidth="1"/>
    <col min="12551" max="12551" width="7.28515625" style="146" bestFit="1" customWidth="1"/>
    <col min="12552" max="12552" width="11.28515625" style="146" customWidth="1"/>
    <col min="12553" max="12553" width="11.7109375" style="146" customWidth="1"/>
    <col min="12554" max="12554" width="10.28515625" style="146" customWidth="1"/>
    <col min="12555" max="12555" width="6.140625" style="146" customWidth="1"/>
    <col min="12556" max="12556" width="11.28515625" style="146" customWidth="1"/>
    <col min="12557" max="12557" width="12.7109375" style="146" customWidth="1"/>
    <col min="12558" max="12559" width="11.28515625" style="146" customWidth="1"/>
    <col min="12560" max="12560" width="11.7109375" style="146" customWidth="1"/>
    <col min="12561" max="12561" width="11" style="146" customWidth="1"/>
    <col min="12562" max="12562" width="11.28515625" style="146" customWidth="1"/>
    <col min="12563" max="12563" width="17.7109375" style="146" customWidth="1"/>
    <col min="12564" max="12805" width="8.85546875" style="146"/>
    <col min="12806" max="12806" width="3.28515625" style="146" customWidth="1"/>
    <col min="12807" max="12807" width="7.28515625" style="146" bestFit="1" customWidth="1"/>
    <col min="12808" max="12808" width="11.28515625" style="146" customWidth="1"/>
    <col min="12809" max="12809" width="11.7109375" style="146" customWidth="1"/>
    <col min="12810" max="12810" width="10.28515625" style="146" customWidth="1"/>
    <col min="12811" max="12811" width="6.140625" style="146" customWidth="1"/>
    <col min="12812" max="12812" width="11.28515625" style="146" customWidth="1"/>
    <col min="12813" max="12813" width="12.7109375" style="146" customWidth="1"/>
    <col min="12814" max="12815" width="11.28515625" style="146" customWidth="1"/>
    <col min="12816" max="12816" width="11.7109375" style="146" customWidth="1"/>
    <col min="12817" max="12817" width="11" style="146" customWidth="1"/>
    <col min="12818" max="12818" width="11.28515625" style="146" customWidth="1"/>
    <col min="12819" max="12819" width="17.7109375" style="146" customWidth="1"/>
    <col min="12820" max="13061" width="8.85546875" style="146"/>
    <col min="13062" max="13062" width="3.28515625" style="146" customWidth="1"/>
    <col min="13063" max="13063" width="7.28515625" style="146" bestFit="1" customWidth="1"/>
    <col min="13064" max="13064" width="11.28515625" style="146" customWidth="1"/>
    <col min="13065" max="13065" width="11.7109375" style="146" customWidth="1"/>
    <col min="13066" max="13066" width="10.28515625" style="146" customWidth="1"/>
    <col min="13067" max="13067" width="6.140625" style="146" customWidth="1"/>
    <col min="13068" max="13068" width="11.28515625" style="146" customWidth="1"/>
    <col min="13069" max="13069" width="12.7109375" style="146" customWidth="1"/>
    <col min="13070" max="13071" width="11.28515625" style="146" customWidth="1"/>
    <col min="13072" max="13072" width="11.7109375" style="146" customWidth="1"/>
    <col min="13073" max="13073" width="11" style="146" customWidth="1"/>
    <col min="13074" max="13074" width="11.28515625" style="146" customWidth="1"/>
    <col min="13075" max="13075" width="17.7109375" style="146" customWidth="1"/>
    <col min="13076" max="13317" width="8.85546875" style="146"/>
    <col min="13318" max="13318" width="3.28515625" style="146" customWidth="1"/>
    <col min="13319" max="13319" width="7.28515625" style="146" bestFit="1" customWidth="1"/>
    <col min="13320" max="13320" width="11.28515625" style="146" customWidth="1"/>
    <col min="13321" max="13321" width="11.7109375" style="146" customWidth="1"/>
    <col min="13322" max="13322" width="10.28515625" style="146" customWidth="1"/>
    <col min="13323" max="13323" width="6.140625" style="146" customWidth="1"/>
    <col min="13324" max="13324" width="11.28515625" style="146" customWidth="1"/>
    <col min="13325" max="13325" width="12.7109375" style="146" customWidth="1"/>
    <col min="13326" max="13327" width="11.28515625" style="146" customWidth="1"/>
    <col min="13328" max="13328" width="11.7109375" style="146" customWidth="1"/>
    <col min="13329" max="13329" width="11" style="146" customWidth="1"/>
    <col min="13330" max="13330" width="11.28515625" style="146" customWidth="1"/>
    <col min="13331" max="13331" width="17.7109375" style="146" customWidth="1"/>
    <col min="13332" max="13573" width="8.85546875" style="146"/>
    <col min="13574" max="13574" width="3.28515625" style="146" customWidth="1"/>
    <col min="13575" max="13575" width="7.28515625" style="146" bestFit="1" customWidth="1"/>
    <col min="13576" max="13576" width="11.28515625" style="146" customWidth="1"/>
    <col min="13577" max="13577" width="11.7109375" style="146" customWidth="1"/>
    <col min="13578" max="13578" width="10.28515625" style="146" customWidth="1"/>
    <col min="13579" max="13579" width="6.140625" style="146" customWidth="1"/>
    <col min="13580" max="13580" width="11.28515625" style="146" customWidth="1"/>
    <col min="13581" max="13581" width="12.7109375" style="146" customWidth="1"/>
    <col min="13582" max="13583" width="11.28515625" style="146" customWidth="1"/>
    <col min="13584" max="13584" width="11.7109375" style="146" customWidth="1"/>
    <col min="13585" max="13585" width="11" style="146" customWidth="1"/>
    <col min="13586" max="13586" width="11.28515625" style="146" customWidth="1"/>
    <col min="13587" max="13587" width="17.7109375" style="146" customWidth="1"/>
    <col min="13588" max="13829" width="8.85546875" style="146"/>
    <col min="13830" max="13830" width="3.28515625" style="146" customWidth="1"/>
    <col min="13831" max="13831" width="7.28515625" style="146" bestFit="1" customWidth="1"/>
    <col min="13832" max="13832" width="11.28515625" style="146" customWidth="1"/>
    <col min="13833" max="13833" width="11.7109375" style="146" customWidth="1"/>
    <col min="13834" max="13834" width="10.28515625" style="146" customWidth="1"/>
    <col min="13835" max="13835" width="6.140625" style="146" customWidth="1"/>
    <col min="13836" max="13836" width="11.28515625" style="146" customWidth="1"/>
    <col min="13837" max="13837" width="12.7109375" style="146" customWidth="1"/>
    <col min="13838" max="13839" width="11.28515625" style="146" customWidth="1"/>
    <col min="13840" max="13840" width="11.7109375" style="146" customWidth="1"/>
    <col min="13841" max="13841" width="11" style="146" customWidth="1"/>
    <col min="13842" max="13842" width="11.28515625" style="146" customWidth="1"/>
    <col min="13843" max="13843" width="17.7109375" style="146" customWidth="1"/>
    <col min="13844" max="14085" width="8.85546875" style="146"/>
    <col min="14086" max="14086" width="3.28515625" style="146" customWidth="1"/>
    <col min="14087" max="14087" width="7.28515625" style="146" bestFit="1" customWidth="1"/>
    <col min="14088" max="14088" width="11.28515625" style="146" customWidth="1"/>
    <col min="14089" max="14089" width="11.7109375" style="146" customWidth="1"/>
    <col min="14090" max="14090" width="10.28515625" style="146" customWidth="1"/>
    <col min="14091" max="14091" width="6.140625" style="146" customWidth="1"/>
    <col min="14092" max="14092" width="11.28515625" style="146" customWidth="1"/>
    <col min="14093" max="14093" width="12.7109375" style="146" customWidth="1"/>
    <col min="14094" max="14095" width="11.28515625" style="146" customWidth="1"/>
    <col min="14096" max="14096" width="11.7109375" style="146" customWidth="1"/>
    <col min="14097" max="14097" width="11" style="146" customWidth="1"/>
    <col min="14098" max="14098" width="11.28515625" style="146" customWidth="1"/>
    <col min="14099" max="14099" width="17.7109375" style="146" customWidth="1"/>
    <col min="14100" max="14341" width="8.85546875" style="146"/>
    <col min="14342" max="14342" width="3.28515625" style="146" customWidth="1"/>
    <col min="14343" max="14343" width="7.28515625" style="146" bestFit="1" customWidth="1"/>
    <col min="14344" max="14344" width="11.28515625" style="146" customWidth="1"/>
    <col min="14345" max="14345" width="11.7109375" style="146" customWidth="1"/>
    <col min="14346" max="14346" width="10.28515625" style="146" customWidth="1"/>
    <col min="14347" max="14347" width="6.140625" style="146" customWidth="1"/>
    <col min="14348" max="14348" width="11.28515625" style="146" customWidth="1"/>
    <col min="14349" max="14349" width="12.7109375" style="146" customWidth="1"/>
    <col min="14350" max="14351" width="11.28515625" style="146" customWidth="1"/>
    <col min="14352" max="14352" width="11.7109375" style="146" customWidth="1"/>
    <col min="14353" max="14353" width="11" style="146" customWidth="1"/>
    <col min="14354" max="14354" width="11.28515625" style="146" customWidth="1"/>
    <col min="14355" max="14355" width="17.7109375" style="146" customWidth="1"/>
    <col min="14356" max="14597" width="8.85546875" style="146"/>
    <col min="14598" max="14598" width="3.28515625" style="146" customWidth="1"/>
    <col min="14599" max="14599" width="7.28515625" style="146" bestFit="1" customWidth="1"/>
    <col min="14600" max="14600" width="11.28515625" style="146" customWidth="1"/>
    <col min="14601" max="14601" width="11.7109375" style="146" customWidth="1"/>
    <col min="14602" max="14602" width="10.28515625" style="146" customWidth="1"/>
    <col min="14603" max="14603" width="6.140625" style="146" customWidth="1"/>
    <col min="14604" max="14604" width="11.28515625" style="146" customWidth="1"/>
    <col min="14605" max="14605" width="12.7109375" style="146" customWidth="1"/>
    <col min="14606" max="14607" width="11.28515625" style="146" customWidth="1"/>
    <col min="14608" max="14608" width="11.7109375" style="146" customWidth="1"/>
    <col min="14609" max="14609" width="11" style="146" customWidth="1"/>
    <col min="14610" max="14610" width="11.28515625" style="146" customWidth="1"/>
    <col min="14611" max="14611" width="17.7109375" style="146" customWidth="1"/>
    <col min="14612" max="14853" width="8.85546875" style="146"/>
    <col min="14854" max="14854" width="3.28515625" style="146" customWidth="1"/>
    <col min="14855" max="14855" width="7.28515625" style="146" bestFit="1" customWidth="1"/>
    <col min="14856" max="14856" width="11.28515625" style="146" customWidth="1"/>
    <col min="14857" max="14857" width="11.7109375" style="146" customWidth="1"/>
    <col min="14858" max="14858" width="10.28515625" style="146" customWidth="1"/>
    <col min="14859" max="14859" width="6.140625" style="146" customWidth="1"/>
    <col min="14860" max="14860" width="11.28515625" style="146" customWidth="1"/>
    <col min="14861" max="14861" width="12.7109375" style="146" customWidth="1"/>
    <col min="14862" max="14863" width="11.28515625" style="146" customWidth="1"/>
    <col min="14864" max="14864" width="11.7109375" style="146" customWidth="1"/>
    <col min="14865" max="14865" width="11" style="146" customWidth="1"/>
    <col min="14866" max="14866" width="11.28515625" style="146" customWidth="1"/>
    <col min="14867" max="14867" width="17.7109375" style="146" customWidth="1"/>
    <col min="14868" max="15109" width="8.85546875" style="146"/>
    <col min="15110" max="15110" width="3.28515625" style="146" customWidth="1"/>
    <col min="15111" max="15111" width="7.28515625" style="146" bestFit="1" customWidth="1"/>
    <col min="15112" max="15112" width="11.28515625" style="146" customWidth="1"/>
    <col min="15113" max="15113" width="11.7109375" style="146" customWidth="1"/>
    <col min="15114" max="15114" width="10.28515625" style="146" customWidth="1"/>
    <col min="15115" max="15115" width="6.140625" style="146" customWidth="1"/>
    <col min="15116" max="15116" width="11.28515625" style="146" customWidth="1"/>
    <col min="15117" max="15117" width="12.7109375" style="146" customWidth="1"/>
    <col min="15118" max="15119" width="11.28515625" style="146" customWidth="1"/>
    <col min="15120" max="15120" width="11.7109375" style="146" customWidth="1"/>
    <col min="15121" max="15121" width="11" style="146" customWidth="1"/>
    <col min="15122" max="15122" width="11.28515625" style="146" customWidth="1"/>
    <col min="15123" max="15123" width="17.7109375" style="146" customWidth="1"/>
    <col min="15124" max="15365" width="8.85546875" style="146"/>
    <col min="15366" max="15366" width="3.28515625" style="146" customWidth="1"/>
    <col min="15367" max="15367" width="7.28515625" style="146" bestFit="1" customWidth="1"/>
    <col min="15368" max="15368" width="11.28515625" style="146" customWidth="1"/>
    <col min="15369" max="15369" width="11.7109375" style="146" customWidth="1"/>
    <col min="15370" max="15370" width="10.28515625" style="146" customWidth="1"/>
    <col min="15371" max="15371" width="6.140625" style="146" customWidth="1"/>
    <col min="15372" max="15372" width="11.28515625" style="146" customWidth="1"/>
    <col min="15373" max="15373" width="12.7109375" style="146" customWidth="1"/>
    <col min="15374" max="15375" width="11.28515625" style="146" customWidth="1"/>
    <col min="15376" max="15376" width="11.7109375" style="146" customWidth="1"/>
    <col min="15377" max="15377" width="11" style="146" customWidth="1"/>
    <col min="15378" max="15378" width="11.28515625" style="146" customWidth="1"/>
    <col min="15379" max="15379" width="17.7109375" style="146" customWidth="1"/>
    <col min="15380" max="15621" width="8.85546875" style="146"/>
    <col min="15622" max="15622" width="3.28515625" style="146" customWidth="1"/>
    <col min="15623" max="15623" width="7.28515625" style="146" bestFit="1" customWidth="1"/>
    <col min="15624" max="15624" width="11.28515625" style="146" customWidth="1"/>
    <col min="15625" max="15625" width="11.7109375" style="146" customWidth="1"/>
    <col min="15626" max="15626" width="10.28515625" style="146" customWidth="1"/>
    <col min="15627" max="15627" width="6.140625" style="146" customWidth="1"/>
    <col min="15628" max="15628" width="11.28515625" style="146" customWidth="1"/>
    <col min="15629" max="15629" width="12.7109375" style="146" customWidth="1"/>
    <col min="15630" max="15631" width="11.28515625" style="146" customWidth="1"/>
    <col min="15632" max="15632" width="11.7109375" style="146" customWidth="1"/>
    <col min="15633" max="15633" width="11" style="146" customWidth="1"/>
    <col min="15634" max="15634" width="11.28515625" style="146" customWidth="1"/>
    <col min="15635" max="15635" width="17.7109375" style="146" customWidth="1"/>
    <col min="15636" max="15877" width="8.85546875" style="146"/>
    <col min="15878" max="15878" width="3.28515625" style="146" customWidth="1"/>
    <col min="15879" max="15879" width="7.28515625" style="146" bestFit="1" customWidth="1"/>
    <col min="15880" max="15880" width="11.28515625" style="146" customWidth="1"/>
    <col min="15881" max="15881" width="11.7109375" style="146" customWidth="1"/>
    <col min="15882" max="15882" width="10.28515625" style="146" customWidth="1"/>
    <col min="15883" max="15883" width="6.140625" style="146" customWidth="1"/>
    <col min="15884" max="15884" width="11.28515625" style="146" customWidth="1"/>
    <col min="15885" max="15885" width="12.7109375" style="146" customWidth="1"/>
    <col min="15886" max="15887" width="11.28515625" style="146" customWidth="1"/>
    <col min="15888" max="15888" width="11.7109375" style="146" customWidth="1"/>
    <col min="15889" max="15889" width="11" style="146" customWidth="1"/>
    <col min="15890" max="15890" width="11.28515625" style="146" customWidth="1"/>
    <col min="15891" max="15891" width="17.7109375" style="146" customWidth="1"/>
    <col min="15892" max="16133" width="8.85546875" style="146"/>
    <col min="16134" max="16134" width="3.28515625" style="146" customWidth="1"/>
    <col min="16135" max="16135" width="7.28515625" style="146" bestFit="1" customWidth="1"/>
    <col min="16136" max="16136" width="11.28515625" style="146" customWidth="1"/>
    <col min="16137" max="16137" width="11.7109375" style="146" customWidth="1"/>
    <col min="16138" max="16138" width="10.28515625" style="146" customWidth="1"/>
    <col min="16139" max="16139" width="6.140625" style="146" customWidth="1"/>
    <col min="16140" max="16140" width="11.28515625" style="146" customWidth="1"/>
    <col min="16141" max="16141" width="12.7109375" style="146" customWidth="1"/>
    <col min="16142" max="16143" width="11.28515625" style="146" customWidth="1"/>
    <col min="16144" max="16144" width="11.7109375" style="146" customWidth="1"/>
    <col min="16145" max="16145" width="11" style="146" customWidth="1"/>
    <col min="16146" max="16146" width="11.28515625" style="146" customWidth="1"/>
    <col min="16147" max="16147" width="17.7109375" style="146" customWidth="1"/>
    <col min="16148" max="16380" width="8.85546875" style="146"/>
    <col min="16381" max="16384" width="9.140625" style="146" customWidth="1"/>
  </cols>
  <sheetData>
    <row r="1" spans="1:19" ht="18" x14ac:dyDescent="0.25">
      <c r="A1" s="145" t="s">
        <v>57</v>
      </c>
      <c r="B1" s="145"/>
      <c r="C1" s="145"/>
      <c r="D1" s="145"/>
      <c r="E1" s="145"/>
      <c r="F1" s="145"/>
      <c r="G1" s="145"/>
      <c r="H1" s="145"/>
      <c r="I1" s="145"/>
      <c r="J1" s="145"/>
      <c r="K1" s="145"/>
      <c r="L1" s="145"/>
      <c r="M1" s="145"/>
      <c r="N1" s="145"/>
      <c r="O1" s="145"/>
      <c r="P1" s="145"/>
      <c r="Q1" s="145"/>
      <c r="R1" s="145"/>
      <c r="S1" s="145"/>
    </row>
    <row r="2" spans="1:19" ht="18.75" thickBot="1" x14ac:dyDescent="0.3">
      <c r="A2" s="255"/>
      <c r="B2" s="255"/>
      <c r="C2" s="255"/>
      <c r="D2" s="255"/>
      <c r="E2" s="255"/>
      <c r="F2" s="255"/>
      <c r="G2" s="255"/>
      <c r="H2" s="255"/>
      <c r="I2" s="255"/>
      <c r="J2" s="255"/>
      <c r="K2" s="255"/>
      <c r="L2" s="255"/>
      <c r="Q2" s="254"/>
    </row>
    <row r="3" spans="1:19" ht="18.75" thickBot="1" x14ac:dyDescent="0.3">
      <c r="A3" s="256" t="s">
        <v>53</v>
      </c>
      <c r="B3" s="257"/>
      <c r="C3" s="258"/>
      <c r="D3" s="257"/>
      <c r="E3" s="257"/>
      <c r="F3" s="257"/>
      <c r="G3" s="257"/>
      <c r="H3" s="257"/>
      <c r="I3" s="257"/>
      <c r="J3" s="257"/>
      <c r="K3" s="257"/>
      <c r="L3" s="257"/>
      <c r="M3" s="257"/>
      <c r="N3" s="257"/>
      <c r="O3" s="257"/>
      <c r="P3" s="257"/>
      <c r="Q3" s="257"/>
      <c r="R3" s="257"/>
      <c r="S3" s="259"/>
    </row>
    <row r="4" spans="1:19" x14ac:dyDescent="0.25">
      <c r="A4" s="823" t="s">
        <v>35</v>
      </c>
      <c r="B4" s="824" t="s">
        <v>34</v>
      </c>
      <c r="C4" s="789" t="s">
        <v>195</v>
      </c>
      <c r="D4" s="825" t="s">
        <v>44</v>
      </c>
      <c r="E4" s="825"/>
      <c r="F4" s="826"/>
      <c r="G4" s="826"/>
      <c r="H4" s="826"/>
      <c r="I4" s="826"/>
      <c r="J4" s="827"/>
      <c r="K4" s="828"/>
      <c r="L4" s="260"/>
      <c r="M4" s="261" t="s">
        <v>43</v>
      </c>
      <c r="N4" s="261"/>
      <c r="O4" s="261"/>
      <c r="P4" s="261"/>
      <c r="Q4" s="261"/>
      <c r="R4" s="262"/>
      <c r="S4" s="815" t="s">
        <v>42</v>
      </c>
    </row>
    <row r="5" spans="1:19" ht="105" x14ac:dyDescent="0.25">
      <c r="A5" s="823"/>
      <c r="B5" s="824"/>
      <c r="C5" s="789"/>
      <c r="D5" s="263" t="s">
        <v>52</v>
      </c>
      <c r="E5" s="263" t="s">
        <v>196</v>
      </c>
      <c r="F5" s="264" t="s">
        <v>51</v>
      </c>
      <c r="G5" s="264" t="s">
        <v>197</v>
      </c>
      <c r="H5" s="264" t="s">
        <v>198</v>
      </c>
      <c r="I5" s="265"/>
      <c r="J5" s="830" t="s">
        <v>227</v>
      </c>
      <c r="K5" s="831"/>
      <c r="L5" s="265" t="s">
        <v>199</v>
      </c>
      <c r="M5" s="265" t="s">
        <v>200</v>
      </c>
      <c r="N5" s="266" t="s">
        <v>50</v>
      </c>
      <c r="O5" s="266" t="s">
        <v>49</v>
      </c>
      <c r="P5" s="266" t="s">
        <v>48</v>
      </c>
      <c r="Q5" s="830" t="s">
        <v>201</v>
      </c>
      <c r="R5" s="831"/>
      <c r="S5" s="829"/>
    </row>
    <row r="6" spans="1:19" s="273" customFormat="1" x14ac:dyDescent="0.25">
      <c r="A6" s="782"/>
      <c r="B6" s="784"/>
      <c r="C6" s="789"/>
      <c r="D6" s="267" t="s">
        <v>23</v>
      </c>
      <c r="E6" s="267" t="s">
        <v>170</v>
      </c>
      <c r="F6" s="268" t="s">
        <v>22</v>
      </c>
      <c r="G6" s="268" t="s">
        <v>170</v>
      </c>
      <c r="H6" s="268" t="s">
        <v>23</v>
      </c>
      <c r="I6" s="269"/>
      <c r="J6" s="270" t="s">
        <v>23</v>
      </c>
      <c r="K6" s="271" t="s">
        <v>21</v>
      </c>
      <c r="L6" s="269" t="s">
        <v>170</v>
      </c>
      <c r="M6" s="269" t="s">
        <v>23</v>
      </c>
      <c r="N6" s="268"/>
      <c r="O6" s="268" t="s">
        <v>23</v>
      </c>
      <c r="P6" s="270" t="s">
        <v>22</v>
      </c>
      <c r="Q6" s="270" t="s">
        <v>23</v>
      </c>
      <c r="R6" s="271" t="s">
        <v>21</v>
      </c>
      <c r="S6" s="272" t="s">
        <v>21</v>
      </c>
    </row>
    <row r="7" spans="1:19" s="274" customFormat="1" x14ac:dyDescent="0.25">
      <c r="A7" s="162"/>
      <c r="B7" s="162"/>
      <c r="C7" s="162"/>
      <c r="D7" s="162"/>
      <c r="E7" s="162"/>
      <c r="F7" s="162"/>
      <c r="G7" s="162"/>
      <c r="H7" s="162"/>
      <c r="I7" s="162"/>
      <c r="J7" s="162"/>
      <c r="K7" s="162"/>
      <c r="L7" s="162"/>
      <c r="M7" s="162"/>
      <c r="N7" s="162"/>
      <c r="O7" s="162"/>
      <c r="P7" s="162"/>
      <c r="Q7" s="162"/>
      <c r="R7" s="162"/>
      <c r="S7" s="162"/>
    </row>
    <row r="8" spans="1:19" x14ac:dyDescent="0.25">
      <c r="A8" s="819">
        <v>1</v>
      </c>
      <c r="B8" s="820" t="s">
        <v>32</v>
      </c>
      <c r="C8" s="275" t="s">
        <v>202</v>
      </c>
      <c r="D8" s="276"/>
      <c r="E8" s="277"/>
      <c r="F8" s="218"/>
      <c r="G8" s="278"/>
      <c r="H8" s="527"/>
      <c r="I8" s="279"/>
      <c r="J8" s="220"/>
      <c r="K8" s="280"/>
      <c r="L8" s="330"/>
      <c r="M8" s="330"/>
      <c r="N8" s="331"/>
      <c r="O8" s="276"/>
      <c r="P8" s="332"/>
      <c r="Q8" s="333"/>
      <c r="R8" s="334"/>
      <c r="S8" s="281"/>
    </row>
    <row r="9" spans="1:19" s="413" customFormat="1" x14ac:dyDescent="0.25">
      <c r="A9" s="819"/>
      <c r="B9" s="820"/>
      <c r="C9" s="411" t="s">
        <v>203</v>
      </c>
      <c r="D9" s="283"/>
      <c r="E9" s="284"/>
      <c r="F9" s="218"/>
      <c r="G9" s="284"/>
      <c r="H9" s="528"/>
      <c r="I9" s="283"/>
      <c r="J9" s="220"/>
      <c r="K9" s="280"/>
      <c r="L9" s="335"/>
      <c r="M9" s="335"/>
      <c r="N9" s="336"/>
      <c r="O9" s="283"/>
      <c r="P9" s="337"/>
      <c r="Q9" s="326"/>
      <c r="R9" s="327"/>
      <c r="S9" s="412"/>
    </row>
    <row r="10" spans="1:19" s="413" customFormat="1" ht="25.5" x14ac:dyDescent="0.25">
      <c r="A10" s="819"/>
      <c r="B10" s="820"/>
      <c r="C10" s="411" t="s">
        <v>204</v>
      </c>
      <c r="D10" s="328"/>
      <c r="E10" s="329"/>
      <c r="F10" s="218"/>
      <c r="G10" s="329"/>
      <c r="H10" s="527"/>
      <c r="I10" s="328"/>
      <c r="J10" s="220"/>
      <c r="K10" s="280"/>
      <c r="L10" s="338"/>
      <c r="M10" s="339"/>
      <c r="N10" s="338"/>
      <c r="O10" s="340"/>
      <c r="P10" s="341"/>
      <c r="Q10" s="342"/>
      <c r="R10" s="343"/>
      <c r="S10" s="414"/>
    </row>
    <row r="11" spans="1:19" x14ac:dyDescent="0.25">
      <c r="A11" s="819"/>
      <c r="B11" s="820"/>
      <c r="C11" s="500" t="s">
        <v>205</v>
      </c>
      <c r="D11" s="501"/>
      <c r="E11" s="502"/>
      <c r="F11" s="218"/>
      <c r="G11" s="502"/>
      <c r="H11" s="529"/>
      <c r="I11" s="501"/>
      <c r="J11" s="430"/>
      <c r="K11" s="280"/>
      <c r="L11" s="504"/>
      <c r="M11" s="504"/>
      <c r="N11" s="505"/>
      <c r="O11" s="501"/>
      <c r="P11" s="506"/>
      <c r="Q11" s="507"/>
      <c r="R11" s="503"/>
      <c r="S11" s="443"/>
    </row>
    <row r="12" spans="1:19" ht="15.75" thickBot="1" x14ac:dyDescent="0.3">
      <c r="A12" s="819"/>
      <c r="B12" s="820"/>
      <c r="C12" s="282" t="s">
        <v>206</v>
      </c>
      <c r="D12" s="283"/>
      <c r="E12" s="284"/>
      <c r="F12" s="218"/>
      <c r="G12" s="285"/>
      <c r="H12" s="528"/>
      <c r="I12" s="285"/>
      <c r="J12" s="220"/>
      <c r="K12" s="280"/>
      <c r="L12" s="335"/>
      <c r="M12" s="335"/>
      <c r="N12" s="336"/>
      <c r="O12" s="283"/>
      <c r="P12" s="337"/>
      <c r="Q12" s="326"/>
      <c r="R12" s="327"/>
      <c r="S12" s="199"/>
    </row>
    <row r="13" spans="1:19" s="287" customFormat="1" ht="16.5" thickTop="1" thickBot="1" x14ac:dyDescent="0.3">
      <c r="A13" s="819"/>
      <c r="B13" s="820"/>
      <c r="C13" s="398" t="s">
        <v>5</v>
      </c>
      <c r="D13" s="399"/>
      <c r="E13" s="399"/>
      <c r="F13" s="400"/>
      <c r="G13" s="399"/>
      <c r="H13" s="399"/>
      <c r="I13" s="399"/>
      <c r="J13" s="399"/>
      <c r="K13" s="401"/>
      <c r="L13" s="402"/>
      <c r="M13" s="402"/>
      <c r="N13" s="403"/>
      <c r="O13" s="399"/>
      <c r="P13" s="404"/>
      <c r="Q13" s="405"/>
      <c r="R13" s="401"/>
      <c r="S13" s="401"/>
    </row>
    <row r="14" spans="1:19" s="345" customFormat="1" ht="15.75" thickTop="1" x14ac:dyDescent="0.25">
      <c r="A14" s="819">
        <v>2</v>
      </c>
      <c r="B14" s="820" t="s">
        <v>75</v>
      </c>
      <c r="C14" s="282" t="s">
        <v>202</v>
      </c>
      <c r="D14" s="283"/>
      <c r="E14" s="284"/>
      <c r="F14" s="183"/>
      <c r="G14" s="288"/>
      <c r="H14" s="530"/>
      <c r="I14" s="279"/>
      <c r="J14" s="220"/>
      <c r="K14" s="280"/>
      <c r="L14" s="335"/>
      <c r="M14" s="512"/>
      <c r="N14" s="330"/>
      <c r="O14" s="276"/>
      <c r="P14" s="355"/>
      <c r="Q14" s="333"/>
      <c r="R14" s="334"/>
      <c r="S14" s="412"/>
    </row>
    <row r="15" spans="1:19" s="345" customFormat="1" x14ac:dyDescent="0.25">
      <c r="A15" s="819"/>
      <c r="B15" s="820"/>
      <c r="C15" s="282" t="s">
        <v>207</v>
      </c>
      <c r="D15" s="283"/>
      <c r="E15" s="284"/>
      <c r="F15" s="183"/>
      <c r="G15" s="284"/>
      <c r="H15" s="528"/>
      <c r="I15" s="283"/>
      <c r="J15" s="326"/>
      <c r="K15" s="327"/>
      <c r="L15" s="335"/>
      <c r="M15" s="335"/>
      <c r="N15" s="335"/>
      <c r="O15" s="336"/>
      <c r="P15" s="355"/>
      <c r="Q15" s="326"/>
      <c r="R15" s="327"/>
      <c r="S15" s="412"/>
    </row>
    <row r="16" spans="1:19" s="345" customFormat="1" ht="25.5" x14ac:dyDescent="0.25">
      <c r="A16" s="819"/>
      <c r="B16" s="820"/>
      <c r="C16" s="286" t="s">
        <v>204</v>
      </c>
      <c r="D16" s="416"/>
      <c r="E16" s="417"/>
      <c r="F16" s="183"/>
      <c r="G16" s="417"/>
      <c r="H16" s="531"/>
      <c r="I16" s="416"/>
      <c r="J16" s="220"/>
      <c r="K16" s="280"/>
      <c r="L16" s="335"/>
      <c r="M16" s="418"/>
      <c r="N16" s="419"/>
      <c r="O16" s="418"/>
      <c r="P16" s="355"/>
      <c r="Q16" s="326"/>
      <c r="R16" s="327"/>
      <c r="S16" s="412"/>
    </row>
    <row r="17" spans="1:19" s="345" customFormat="1" x14ac:dyDescent="0.25">
      <c r="A17" s="819"/>
      <c r="B17" s="820"/>
      <c r="C17" s="282" t="s">
        <v>205</v>
      </c>
      <c r="D17" s="289"/>
      <c r="E17" s="290"/>
      <c r="F17" s="183"/>
      <c r="G17" s="290"/>
      <c r="H17" s="532"/>
      <c r="I17" s="291"/>
      <c r="J17" s="186"/>
      <c r="K17" s="198"/>
      <c r="L17" s="335"/>
      <c r="M17" s="335"/>
      <c r="N17" s="335"/>
      <c r="O17" s="336"/>
      <c r="P17" s="355"/>
      <c r="Q17" s="326"/>
      <c r="R17" s="327"/>
      <c r="S17" s="412"/>
    </row>
    <row r="18" spans="1:19" s="345" customFormat="1" ht="15.75" thickBot="1" x14ac:dyDescent="0.3">
      <c r="A18" s="819"/>
      <c r="B18" s="820"/>
      <c r="C18" s="282" t="s">
        <v>206</v>
      </c>
      <c r="D18" s="283"/>
      <c r="E18" s="284"/>
      <c r="F18" s="183"/>
      <c r="G18" s="284"/>
      <c r="H18" s="528"/>
      <c r="I18" s="291"/>
      <c r="J18" s="220"/>
      <c r="K18" s="280"/>
      <c r="L18" s="335"/>
      <c r="M18" s="335"/>
      <c r="N18" s="335"/>
      <c r="O18" s="336"/>
      <c r="P18" s="355"/>
      <c r="Q18" s="326"/>
      <c r="R18" s="327"/>
      <c r="S18" s="412"/>
    </row>
    <row r="19" spans="1:19" s="345" customFormat="1" ht="16.5" thickTop="1" thickBot="1" x14ac:dyDescent="0.3">
      <c r="A19" s="819"/>
      <c r="B19" s="820"/>
      <c r="C19" s="398" t="s">
        <v>5</v>
      </c>
      <c r="D19" s="399"/>
      <c r="E19" s="399"/>
      <c r="F19" s="406"/>
      <c r="G19" s="407"/>
      <c r="H19" s="399"/>
      <c r="I19" s="406"/>
      <c r="J19" s="399"/>
      <c r="K19" s="401"/>
      <c r="L19" s="402"/>
      <c r="M19" s="402"/>
      <c r="N19" s="403"/>
      <c r="O19" s="399"/>
      <c r="P19" s="404"/>
      <c r="Q19" s="405"/>
      <c r="R19" s="401"/>
      <c r="S19" s="401"/>
    </row>
    <row r="20" spans="1:19" ht="15.75" thickTop="1" x14ac:dyDescent="0.25">
      <c r="A20" s="819">
        <v>2</v>
      </c>
      <c r="B20" s="820" t="s">
        <v>76</v>
      </c>
      <c r="C20" s="282" t="s">
        <v>202</v>
      </c>
      <c r="D20" s="283"/>
      <c r="E20" s="284"/>
      <c r="F20" s="183"/>
      <c r="G20" s="288"/>
      <c r="H20" s="527"/>
      <c r="I20" s="279"/>
      <c r="J20" s="220"/>
      <c r="K20" s="280"/>
      <c r="L20" s="335"/>
      <c r="M20" s="512"/>
      <c r="N20" s="330"/>
      <c r="O20" s="331"/>
      <c r="P20" s="355"/>
      <c r="Q20" s="333"/>
      <c r="R20" s="334"/>
      <c r="S20" s="412"/>
    </row>
    <row r="21" spans="1:19" s="413" customFormat="1" x14ac:dyDescent="0.25">
      <c r="A21" s="819"/>
      <c r="B21" s="820"/>
      <c r="C21" s="415" t="s">
        <v>207</v>
      </c>
      <c r="D21" s="283"/>
      <c r="E21" s="284"/>
      <c r="F21" s="183"/>
      <c r="G21" s="284"/>
      <c r="H21" s="528"/>
      <c r="I21" s="283"/>
      <c r="J21" s="220"/>
      <c r="K21" s="280"/>
      <c r="L21" s="335"/>
      <c r="M21" s="335"/>
      <c r="N21" s="335"/>
      <c r="O21" s="336"/>
      <c r="P21" s="355"/>
      <c r="Q21" s="326"/>
      <c r="R21" s="327"/>
      <c r="S21" s="412"/>
    </row>
    <row r="22" spans="1:19" ht="14.45" customHeight="1" x14ac:dyDescent="0.25">
      <c r="A22" s="819"/>
      <c r="B22" s="820"/>
      <c r="C22" s="411" t="s">
        <v>204</v>
      </c>
      <c r="D22" s="328"/>
      <c r="E22" s="329"/>
      <c r="F22" s="183"/>
      <c r="G22" s="329"/>
      <c r="H22" s="533"/>
      <c r="I22" s="328"/>
      <c r="J22" s="220"/>
      <c r="K22" s="280"/>
      <c r="L22" s="335"/>
      <c r="M22" s="418"/>
      <c r="N22" s="419"/>
      <c r="O22" s="418"/>
      <c r="P22" s="355"/>
      <c r="Q22" s="342"/>
      <c r="R22" s="343"/>
      <c r="S22" s="414"/>
    </row>
    <row r="23" spans="1:19" x14ac:dyDescent="0.25">
      <c r="A23" s="819"/>
      <c r="B23" s="820"/>
      <c r="C23" s="500" t="s">
        <v>205</v>
      </c>
      <c r="D23" s="508"/>
      <c r="E23" s="509"/>
      <c r="F23" s="183"/>
      <c r="G23" s="511"/>
      <c r="H23" s="529"/>
      <c r="I23" s="510"/>
      <c r="J23" s="430"/>
      <c r="K23" s="503"/>
      <c r="L23" s="504"/>
      <c r="M23" s="504"/>
      <c r="N23" s="504"/>
      <c r="O23" s="505"/>
      <c r="P23" s="513"/>
      <c r="Q23" s="507"/>
      <c r="R23" s="503"/>
      <c r="S23" s="514"/>
    </row>
    <row r="24" spans="1:19" ht="15.75" thickBot="1" x14ac:dyDescent="0.3">
      <c r="A24" s="819"/>
      <c r="B24" s="820"/>
      <c r="C24" s="282" t="s">
        <v>206</v>
      </c>
      <c r="D24" s="283"/>
      <c r="E24" s="284"/>
      <c r="F24" s="183"/>
      <c r="G24" s="284"/>
      <c r="H24" s="530"/>
      <c r="I24" s="183"/>
      <c r="J24" s="220"/>
      <c r="K24" s="280"/>
      <c r="L24" s="335"/>
      <c r="M24" s="335"/>
      <c r="N24" s="335"/>
      <c r="O24" s="336"/>
      <c r="P24" s="355"/>
      <c r="Q24" s="326"/>
      <c r="R24" s="327"/>
      <c r="S24" s="412"/>
    </row>
    <row r="25" spans="1:19" s="287" customFormat="1" ht="16.5" thickTop="1" thickBot="1" x14ac:dyDescent="0.3">
      <c r="A25" s="819"/>
      <c r="B25" s="820"/>
      <c r="C25" s="398" t="s">
        <v>5</v>
      </c>
      <c r="D25" s="399"/>
      <c r="E25" s="399"/>
      <c r="F25" s="408"/>
      <c r="G25" s="409"/>
      <c r="H25" s="410"/>
      <c r="I25" s="408"/>
      <c r="J25" s="399"/>
      <c r="K25" s="401"/>
      <c r="L25" s="402"/>
      <c r="M25" s="402"/>
      <c r="N25" s="403"/>
      <c r="O25" s="399"/>
      <c r="P25" s="404"/>
      <c r="Q25" s="405"/>
      <c r="R25" s="401"/>
      <c r="S25" s="401"/>
    </row>
    <row r="26" spans="1:19" s="523" customFormat="1" ht="16.5" thickTop="1" thickBot="1" x14ac:dyDescent="0.3">
      <c r="A26" s="515"/>
      <c r="B26" s="516"/>
      <c r="C26" s="516"/>
      <c r="D26" s="292"/>
      <c r="E26" s="292"/>
      <c r="F26" s="293"/>
      <c r="G26" s="294"/>
      <c r="H26" s="295"/>
      <c r="I26" s="296"/>
      <c r="J26" s="517"/>
      <c r="K26" s="518"/>
      <c r="L26" s="519"/>
      <c r="M26" s="519"/>
      <c r="N26" s="520"/>
      <c r="O26" s="222"/>
      <c r="P26" s="521"/>
      <c r="Q26" s="517"/>
      <c r="R26" s="518"/>
      <c r="S26" s="522"/>
    </row>
    <row r="27" spans="1:19" ht="16.5" thickTop="1" thickBot="1" x14ac:dyDescent="0.3">
      <c r="A27" s="821" t="s">
        <v>5</v>
      </c>
      <c r="B27" s="822"/>
      <c r="C27" s="232"/>
      <c r="D27" s="297">
        <f>D25+D19+D13</f>
        <v>0</v>
      </c>
      <c r="E27" s="298"/>
      <c r="F27" s="299"/>
      <c r="G27" s="299"/>
      <c r="H27" s="297">
        <f>H25+H19+H13</f>
        <v>0</v>
      </c>
      <c r="I27" s="299"/>
      <c r="J27" s="297">
        <f>J25+J19+J13</f>
        <v>0</v>
      </c>
      <c r="K27" s="301">
        <f>K25+K19+K13</f>
        <v>0</v>
      </c>
      <c r="L27" s="302"/>
      <c r="M27" s="303"/>
      <c r="N27" s="304"/>
      <c r="O27" s="300"/>
      <c r="P27" s="304"/>
      <c r="Q27" s="300"/>
      <c r="R27" s="305"/>
      <c r="S27" s="301">
        <f>S25+S19+S13</f>
        <v>0</v>
      </c>
    </row>
    <row r="29" spans="1:19" x14ac:dyDescent="0.25">
      <c r="A29" s="250" t="s">
        <v>47</v>
      </c>
    </row>
    <row r="31" spans="1:19" x14ac:dyDescent="0.25">
      <c r="H31" s="420"/>
    </row>
    <row r="33" spans="8:8" x14ac:dyDescent="0.25">
      <c r="H33" s="420"/>
    </row>
  </sheetData>
  <mergeCells count="14">
    <mergeCell ref="A4:A6"/>
    <mergeCell ref="B4:B6"/>
    <mergeCell ref="C4:C6"/>
    <mergeCell ref="D4:K4"/>
    <mergeCell ref="S4:S5"/>
    <mergeCell ref="J5:K5"/>
    <mergeCell ref="Q5:R5"/>
    <mergeCell ref="A8:A13"/>
    <mergeCell ref="B8:B13"/>
    <mergeCell ref="A20:A25"/>
    <mergeCell ref="B20:B25"/>
    <mergeCell ref="A27:B27"/>
    <mergeCell ref="A14:A19"/>
    <mergeCell ref="B14:B19"/>
  </mergeCells>
  <conditionalFormatting sqref="R26:R27 S13 R11:R13 R8:R9 R15:R18 R20:R21">
    <cfRule type="cellIs" dxfId="12" priority="16" operator="lessThan">
      <formula>0</formula>
    </cfRule>
  </conditionalFormatting>
  <conditionalFormatting sqref="R25">
    <cfRule type="cellIs" dxfId="11" priority="15" operator="lessThan">
      <formula>0</formula>
    </cfRule>
  </conditionalFormatting>
  <conditionalFormatting sqref="R10">
    <cfRule type="cellIs" dxfId="10" priority="14" operator="lessThan">
      <formula>0</formula>
    </cfRule>
  </conditionalFormatting>
  <conditionalFormatting sqref="S25">
    <cfRule type="cellIs" dxfId="9" priority="13" operator="lessThan">
      <formula>0</formula>
    </cfRule>
  </conditionalFormatting>
  <conditionalFormatting sqref="R19">
    <cfRule type="cellIs" dxfId="8" priority="10" operator="lessThan">
      <formula>0</formula>
    </cfRule>
  </conditionalFormatting>
  <conditionalFormatting sqref="S19">
    <cfRule type="cellIs" dxfId="7" priority="9" operator="lessThan">
      <formula>0</formula>
    </cfRule>
  </conditionalFormatting>
  <conditionalFormatting sqref="K13">
    <cfRule type="cellIs" dxfId="6" priority="8" operator="lessThan">
      <formula>0</formula>
    </cfRule>
  </conditionalFormatting>
  <conditionalFormatting sqref="R23:R24">
    <cfRule type="cellIs" dxfId="5" priority="6" operator="lessThan">
      <formula>0</formula>
    </cfRule>
  </conditionalFormatting>
  <conditionalFormatting sqref="R22">
    <cfRule type="cellIs" dxfId="4" priority="5" operator="lessThan">
      <formula>0</formula>
    </cfRule>
  </conditionalFormatting>
  <conditionalFormatting sqref="R14">
    <cfRule type="cellIs" dxfId="3" priority="4" operator="lessThan">
      <formula>0</formula>
    </cfRule>
  </conditionalFormatting>
  <conditionalFormatting sqref="K25">
    <cfRule type="cellIs" dxfId="2" priority="2" operator="lessThan">
      <formula>0</formula>
    </cfRule>
  </conditionalFormatting>
  <conditionalFormatting sqref="K19">
    <cfRule type="cellIs" dxfId="1" priority="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5"/>
  <sheetViews>
    <sheetView zoomScale="85" zoomScaleNormal="85" workbookViewId="0">
      <selection activeCell="A21" sqref="A21:XFD21"/>
    </sheetView>
  </sheetViews>
  <sheetFormatPr defaultRowHeight="15" x14ac:dyDescent="0.25"/>
  <cols>
    <col min="1" max="1" width="9.140625" style="636"/>
    <col min="2" max="2" width="9.140625" style="636" customWidth="1"/>
    <col min="3" max="3" width="45.5703125" style="636" customWidth="1"/>
    <col min="4" max="4" width="40.28515625" style="636" customWidth="1"/>
    <col min="5" max="5" width="22" style="636" customWidth="1"/>
  </cols>
  <sheetData>
    <row r="2" spans="1:5" ht="18" x14ac:dyDescent="0.25">
      <c r="A2" s="635" t="s">
        <v>360</v>
      </c>
    </row>
    <row r="3" spans="1:5" x14ac:dyDescent="0.25">
      <c r="A3" s="637"/>
    </row>
    <row r="4" spans="1:5" x14ac:dyDescent="0.25">
      <c r="A4" s="638" t="s">
        <v>353</v>
      </c>
      <c r="B4" s="636" t="s">
        <v>45</v>
      </c>
      <c r="C4" s="636" t="s">
        <v>361</v>
      </c>
      <c r="D4" s="636" t="s">
        <v>362</v>
      </c>
      <c r="E4" s="636" t="s">
        <v>363</v>
      </c>
    </row>
    <row r="5" spans="1:5" hidden="1" x14ac:dyDescent="0.25">
      <c r="A5" s="638">
        <f>'Referenčne količine'!A3</f>
        <v>1</v>
      </c>
      <c r="B5" s="636" t="str">
        <f>'Referenčne količine'!B3</f>
        <v>OB01</v>
      </c>
      <c r="C5" s="636" t="str">
        <f>'Referenčne količine'!C3</f>
        <v>OŠ DOBOVA</v>
      </c>
      <c r="D5" s="636" t="str">
        <f>'Referenčne količine'!D3</f>
        <v>Kapelska cesta 25, Dobova</v>
      </c>
    </row>
    <row r="6" spans="1:5" hidden="1" x14ac:dyDescent="0.25">
      <c r="A6" s="638">
        <f>'Referenčne količine'!A4</f>
        <v>2</v>
      </c>
      <c r="B6" s="636" t="str">
        <f>'Referenčne količine'!B4</f>
        <v>OB02</v>
      </c>
      <c r="C6" s="636" t="str">
        <f>'Referenčne količine'!C4</f>
        <v>ŠD Dobova</v>
      </c>
      <c r="D6" s="636" t="str">
        <f>'Referenčne količine'!D4</f>
        <v>Kapelska cesta 25, Dobova</v>
      </c>
    </row>
    <row r="7" spans="1:5" hidden="1" x14ac:dyDescent="0.25">
      <c r="A7" s="638">
        <f>'Referenčne količine'!A5</f>
        <v>3</v>
      </c>
      <c r="B7" s="636" t="str">
        <f>'Referenčne količine'!B5</f>
        <v>OB03</v>
      </c>
      <c r="C7" s="636" t="str">
        <f>'Referenčne količine'!C5</f>
        <v>OŠ GLOBOKO</v>
      </c>
      <c r="D7" s="636" t="str">
        <f>'Referenčne količine'!D5</f>
        <v>Globoko 9, Globoko</v>
      </c>
    </row>
    <row r="8" spans="1:5" hidden="1" x14ac:dyDescent="0.25">
      <c r="A8" s="638">
        <f>'Referenčne količine'!A6</f>
        <v>4</v>
      </c>
      <c r="B8" s="636" t="str">
        <f>'Referenčne količine'!B6</f>
        <v>OB04</v>
      </c>
      <c r="C8" s="636" t="str">
        <f>'Referenčne količine'!C6</f>
        <v>OŠ PIŠECE</v>
      </c>
      <c r="D8" s="636" t="str">
        <f>'Referenčne količine'!D6</f>
        <v>Pišece 34, Pišece</v>
      </c>
    </row>
    <row r="9" spans="1:5" hidden="1" x14ac:dyDescent="0.25">
      <c r="A9" s="638">
        <f>'Referenčne količine'!A7</f>
        <v>5</v>
      </c>
      <c r="B9" s="636" t="str">
        <f>'Referenčne količine'!B7</f>
        <v>OB05</v>
      </c>
      <c r="C9" s="636" t="str">
        <f>'Referenčne količine'!C7</f>
        <v>STADION BREŽICE</v>
      </c>
      <c r="D9" s="636" t="str">
        <f>'Referenčne količine'!D7</f>
        <v>Cesta bratov Milavcev 18, Brežice</v>
      </c>
    </row>
    <row r="10" spans="1:5" hidden="1" x14ac:dyDescent="0.25">
      <c r="A10" s="638">
        <f>'Referenčne količine'!A8</f>
        <v>6</v>
      </c>
      <c r="B10" s="636" t="str">
        <f>'Referenčne količine'!B8</f>
        <v>OB06</v>
      </c>
      <c r="C10" s="636" t="str">
        <f>'Referenčne količine'!C8</f>
        <v>GLASBENA ŠOLA BREŽICE</v>
      </c>
      <c r="D10" s="636" t="str">
        <f>'Referenčne količine'!D8</f>
        <v>Cesta prvih borcev 5, Brežice</v>
      </c>
    </row>
    <row r="11" spans="1:5" hidden="1" x14ac:dyDescent="0.25">
      <c r="A11" s="638">
        <f>'Referenčne količine'!A9</f>
        <v>7</v>
      </c>
      <c r="B11" s="636" t="str">
        <f>'Referenčne količine'!B9</f>
        <v>OB07</v>
      </c>
      <c r="C11" s="636" t="str">
        <f>'Referenčne količine'!C9</f>
        <v>KNJIŽNICA BREŽICE</v>
      </c>
      <c r="D11" s="636" t="str">
        <f>'Referenčne količine'!D9</f>
        <v>Trg Jožeta Toporišiča 1, 8250 Brežice</v>
      </c>
    </row>
    <row r="12" spans="1:5" hidden="1" x14ac:dyDescent="0.25">
      <c r="A12" s="638" t="e">
        <f>'Referenčne količine'!#REF!</f>
        <v>#REF!</v>
      </c>
      <c r="B12" s="636" t="e">
        <f>'Referenčne količine'!#REF!</f>
        <v>#REF!</v>
      </c>
      <c r="C12" s="636" t="e">
        <f>'Referenčne količine'!#REF!</f>
        <v>#REF!</v>
      </c>
      <c r="D12" s="636" t="e">
        <f>'Referenčne količine'!#REF!</f>
        <v>#REF!</v>
      </c>
    </row>
    <row r="13" spans="1:5" hidden="1" x14ac:dyDescent="0.25">
      <c r="A13" s="638">
        <f>'Referenčne količine'!A10</f>
        <v>9</v>
      </c>
      <c r="B13" s="636" t="str">
        <f>'Referenčne količine'!B10</f>
        <v>OB09</v>
      </c>
      <c r="C13" s="636" t="str">
        <f>'Referenčne količine'!C10</f>
        <v>OŠ BIZELJSKO</v>
      </c>
      <c r="D13" s="636" t="str">
        <f>'Referenčne količine'!D10</f>
        <v>Bizeljska cesta 78, Bizeljsko</v>
      </c>
    </row>
    <row r="14" spans="1:5" x14ac:dyDescent="0.25">
      <c r="A14" s="638">
        <f>'Referenčne količine'!A11</f>
        <v>10</v>
      </c>
      <c r="B14" s="636" t="str">
        <f>'Referenčne količine'!B11</f>
        <v>OB10</v>
      </c>
      <c r="C14" s="636" t="str">
        <f>'Referenčne količine'!C11</f>
        <v>OŠ KAPELE</v>
      </c>
      <c r="D14" s="636" t="str">
        <f>'Referenčne količine'!D11</f>
        <v>Kapele 4a, Kapele</v>
      </c>
    </row>
    <row r="15" spans="1:5" hidden="1" x14ac:dyDescent="0.25">
      <c r="A15" s="638">
        <f>'Referenčne količine'!A12</f>
        <v>11</v>
      </c>
      <c r="B15" s="636" t="str">
        <f>'Referenčne količine'!B12</f>
        <v>OB11</v>
      </c>
      <c r="C15" s="636" t="str">
        <f>'Referenčne količine'!C12</f>
        <v>OŠ ARTIČE-samo telovadnica</v>
      </c>
      <c r="D15" s="636" t="str">
        <f>'Referenčne količine'!D12</f>
        <v>Artiče 39, 8253 Artiče</v>
      </c>
    </row>
    <row r="16" spans="1:5" x14ac:dyDescent="0.25">
      <c r="A16" s="638">
        <f>'Referenčne količine'!A13</f>
        <v>12</v>
      </c>
      <c r="B16" s="636" t="str">
        <f>'Referenčne količine'!B13</f>
        <v>OB12</v>
      </c>
      <c r="C16" s="636" t="str">
        <f>'Referenčne količine'!C13</f>
        <v>OŠ BREŽICE</v>
      </c>
      <c r="D16" s="636" t="str">
        <f>'Referenčne količine'!D13</f>
        <v>Levstikova ulica 18, 8250 Brežice</v>
      </c>
    </row>
    <row r="17" spans="1:5" x14ac:dyDescent="0.25">
      <c r="A17" s="638">
        <f>'Referenčne količine'!A14</f>
        <v>13</v>
      </c>
      <c r="B17" s="636" t="str">
        <f>'Referenčne količine'!B14</f>
        <v>OB13</v>
      </c>
      <c r="C17" s="636" t="str">
        <f>'Referenčne količine'!C14</f>
        <v>ZDRAVSTVENI DOM</v>
      </c>
      <c r="D17" s="636" t="str">
        <f>'Referenčne količine'!D14</f>
        <v>Černelčeva cesta 8, 8250 Brežice</v>
      </c>
    </row>
    <row r="18" spans="1:5" x14ac:dyDescent="0.25">
      <c r="A18" s="638">
        <f>'Referenčne količine'!A15</f>
        <v>14</v>
      </c>
      <c r="B18" s="636" t="str">
        <f>'Referenčne količine'!B15</f>
        <v>OB14</v>
      </c>
      <c r="C18" s="636" t="str">
        <f>'Referenčne količine'!C15</f>
        <v>MLADINSKI CENTER</v>
      </c>
      <c r="D18" s="636" t="str">
        <f>'Referenčne količine'!D15</f>
        <v>Gubčeva ulica 10a, 8250 Brežice</v>
      </c>
    </row>
    <row r="19" spans="1:5" x14ac:dyDescent="0.25">
      <c r="A19" s="638">
        <f>'Referenčne količine'!A16</f>
        <v>15</v>
      </c>
      <c r="B19" s="636" t="str">
        <f>'Referenčne količine'!B16</f>
        <v>OB15</v>
      </c>
      <c r="C19" s="636" t="str">
        <f>'Referenčne količine'!C16</f>
        <v>VRTEC BREŽICE</v>
      </c>
      <c r="D19" s="636" t="str">
        <f>'Referenčne količine'!D16</f>
        <v>Šolska ulica 5, 8250 Brežice</v>
      </c>
    </row>
    <row r="20" spans="1:5" x14ac:dyDescent="0.25">
      <c r="A20" s="638">
        <f>'Referenčne količine'!A17</f>
        <v>16</v>
      </c>
      <c r="B20" s="636" t="str">
        <f>'Referenčne količine'!B17</f>
        <v>OB16</v>
      </c>
      <c r="C20" s="636" t="str">
        <f>'Referenčne količine'!C17</f>
        <v>OŠ CERKLJE OB KRKI</v>
      </c>
      <c r="D20" s="636" t="str">
        <f>'Referenčne količine'!D17</f>
        <v>Cerklje ob Krki 3, 8263 Cerklje ob Krki</v>
      </c>
    </row>
    <row r="21" spans="1:5" hidden="1" x14ac:dyDescent="0.25">
      <c r="A21" s="657">
        <f>'Referenčne količine'!A18</f>
        <v>17</v>
      </c>
      <c r="B21" s="658" t="str">
        <f>'Referenčne količine'!B18</f>
        <v>OB17</v>
      </c>
      <c r="C21" s="658" t="str">
        <f>'Referenčne količine'!C18</f>
        <v>Športna dvorana BREŽICE</v>
      </c>
      <c r="D21" s="658" t="str">
        <f>'Referenčne količine'!D18</f>
        <v>Černelčeva cesta 10, 8250 Brežice</v>
      </c>
      <c r="E21" s="658"/>
    </row>
    <row r="23" spans="1:5" x14ac:dyDescent="0.25">
      <c r="B23" s="639"/>
    </row>
    <row r="24" spans="1:5" x14ac:dyDescent="0.25">
      <c r="B24" s="639"/>
    </row>
    <row r="25" spans="1:5" x14ac:dyDescent="0.25">
      <c r="B25" s="672"/>
      <c r="C25" s="672"/>
      <c r="D25" s="672"/>
      <c r="E25" s="672"/>
    </row>
  </sheetData>
  <mergeCells count="1">
    <mergeCell ref="B25:E25"/>
  </mergeCells>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F18"/>
  <sheetViews>
    <sheetView workbookViewId="0">
      <selection activeCell="E18" sqref="E18"/>
    </sheetView>
  </sheetViews>
  <sheetFormatPr defaultRowHeight="15" x14ac:dyDescent="0.25"/>
  <cols>
    <col min="1" max="1" width="4.7109375" style="323" customWidth="1"/>
    <col min="2" max="2" width="6.7109375" style="323" bestFit="1" customWidth="1"/>
    <col min="3" max="5" width="28.28515625" style="323" customWidth="1"/>
    <col min="6" max="6" width="24.28515625" style="307" customWidth="1"/>
    <col min="7" max="256" width="8.85546875" style="307"/>
    <col min="257" max="257" width="4.7109375" style="307" customWidth="1"/>
    <col min="258" max="258" width="6.7109375" style="307" bestFit="1" customWidth="1"/>
    <col min="259" max="262" width="16.7109375" style="307" customWidth="1"/>
    <col min="263" max="512" width="8.85546875" style="307"/>
    <col min="513" max="513" width="4.7109375" style="307" customWidth="1"/>
    <col min="514" max="514" width="6.7109375" style="307" bestFit="1" customWidth="1"/>
    <col min="515" max="518" width="16.7109375" style="307" customWidth="1"/>
    <col min="519" max="768" width="8.85546875" style="307"/>
    <col min="769" max="769" width="4.7109375" style="307" customWidth="1"/>
    <col min="770" max="770" width="6.7109375" style="307" bestFit="1" customWidth="1"/>
    <col min="771" max="774" width="16.7109375" style="307" customWidth="1"/>
    <col min="775" max="1024" width="8.85546875" style="307"/>
    <col min="1025" max="1025" width="4.7109375" style="307" customWidth="1"/>
    <col min="1026" max="1026" width="6.7109375" style="307" bestFit="1" customWidth="1"/>
    <col min="1027" max="1030" width="16.7109375" style="307" customWidth="1"/>
    <col min="1031" max="1280" width="8.85546875" style="307"/>
    <col min="1281" max="1281" width="4.7109375" style="307" customWidth="1"/>
    <col min="1282" max="1282" width="6.7109375" style="307" bestFit="1" customWidth="1"/>
    <col min="1283" max="1286" width="16.7109375" style="307" customWidth="1"/>
    <col min="1287" max="1536" width="8.85546875" style="307"/>
    <col min="1537" max="1537" width="4.7109375" style="307" customWidth="1"/>
    <col min="1538" max="1538" width="6.7109375" style="307" bestFit="1" customWidth="1"/>
    <col min="1539" max="1542" width="16.7109375" style="307" customWidth="1"/>
    <col min="1543" max="1792" width="8.85546875" style="307"/>
    <col min="1793" max="1793" width="4.7109375" style="307" customWidth="1"/>
    <col min="1794" max="1794" width="6.7109375" style="307" bestFit="1" customWidth="1"/>
    <col min="1795" max="1798" width="16.7109375" style="307" customWidth="1"/>
    <col min="1799" max="2048" width="8.85546875" style="307"/>
    <col min="2049" max="2049" width="4.7109375" style="307" customWidth="1"/>
    <col min="2050" max="2050" width="6.7109375" style="307" bestFit="1" customWidth="1"/>
    <col min="2051" max="2054" width="16.7109375" style="307" customWidth="1"/>
    <col min="2055" max="2304" width="8.85546875" style="307"/>
    <col min="2305" max="2305" width="4.7109375" style="307" customWidth="1"/>
    <col min="2306" max="2306" width="6.7109375" style="307" bestFit="1" customWidth="1"/>
    <col min="2307" max="2310" width="16.7109375" style="307" customWidth="1"/>
    <col min="2311" max="2560" width="8.85546875" style="307"/>
    <col min="2561" max="2561" width="4.7109375" style="307" customWidth="1"/>
    <col min="2562" max="2562" width="6.7109375" style="307" bestFit="1" customWidth="1"/>
    <col min="2563" max="2566" width="16.7109375" style="307" customWidth="1"/>
    <col min="2567" max="2816" width="8.85546875" style="307"/>
    <col min="2817" max="2817" width="4.7109375" style="307" customWidth="1"/>
    <col min="2818" max="2818" width="6.7109375" style="307" bestFit="1" customWidth="1"/>
    <col min="2819" max="2822" width="16.7109375" style="307" customWidth="1"/>
    <col min="2823" max="3072" width="8.85546875" style="307"/>
    <col min="3073" max="3073" width="4.7109375" style="307" customWidth="1"/>
    <col min="3074" max="3074" width="6.7109375" style="307" bestFit="1" customWidth="1"/>
    <col min="3075" max="3078" width="16.7109375" style="307" customWidth="1"/>
    <col min="3079" max="3328" width="8.85546875" style="307"/>
    <col min="3329" max="3329" width="4.7109375" style="307" customWidth="1"/>
    <col min="3330" max="3330" width="6.7109375" style="307" bestFit="1" customWidth="1"/>
    <col min="3331" max="3334" width="16.7109375" style="307" customWidth="1"/>
    <col min="3335" max="3584" width="8.85546875" style="307"/>
    <col min="3585" max="3585" width="4.7109375" style="307" customWidth="1"/>
    <col min="3586" max="3586" width="6.7109375" style="307" bestFit="1" customWidth="1"/>
    <col min="3587" max="3590" width="16.7109375" style="307" customWidth="1"/>
    <col min="3591" max="3840" width="8.85546875" style="307"/>
    <col min="3841" max="3841" width="4.7109375" style="307" customWidth="1"/>
    <col min="3842" max="3842" width="6.7109375" style="307" bestFit="1" customWidth="1"/>
    <col min="3843" max="3846" width="16.7109375" style="307" customWidth="1"/>
    <col min="3847" max="4096" width="8.85546875" style="307"/>
    <col min="4097" max="4097" width="4.7109375" style="307" customWidth="1"/>
    <col min="4098" max="4098" width="6.7109375" style="307" bestFit="1" customWidth="1"/>
    <col min="4099" max="4102" width="16.7109375" style="307" customWidth="1"/>
    <col min="4103" max="4352" width="8.85546875" style="307"/>
    <col min="4353" max="4353" width="4.7109375" style="307" customWidth="1"/>
    <col min="4354" max="4354" width="6.7109375" style="307" bestFit="1" customWidth="1"/>
    <col min="4355" max="4358" width="16.7109375" style="307" customWidth="1"/>
    <col min="4359" max="4608" width="8.85546875" style="307"/>
    <col min="4609" max="4609" width="4.7109375" style="307" customWidth="1"/>
    <col min="4610" max="4610" width="6.7109375" style="307" bestFit="1" customWidth="1"/>
    <col min="4611" max="4614" width="16.7109375" style="307" customWidth="1"/>
    <col min="4615" max="4864" width="8.85546875" style="307"/>
    <col min="4865" max="4865" width="4.7109375" style="307" customWidth="1"/>
    <col min="4866" max="4866" width="6.7109375" style="307" bestFit="1" customWidth="1"/>
    <col min="4867" max="4870" width="16.7109375" style="307" customWidth="1"/>
    <col min="4871" max="5120" width="8.85546875" style="307"/>
    <col min="5121" max="5121" width="4.7109375" style="307" customWidth="1"/>
    <col min="5122" max="5122" width="6.7109375" style="307" bestFit="1" customWidth="1"/>
    <col min="5123" max="5126" width="16.7109375" style="307" customWidth="1"/>
    <col min="5127" max="5376" width="8.85546875" style="307"/>
    <col min="5377" max="5377" width="4.7109375" style="307" customWidth="1"/>
    <col min="5378" max="5378" width="6.7109375" style="307" bestFit="1" customWidth="1"/>
    <col min="5379" max="5382" width="16.7109375" style="307" customWidth="1"/>
    <col min="5383" max="5632" width="8.85546875" style="307"/>
    <col min="5633" max="5633" width="4.7109375" style="307" customWidth="1"/>
    <col min="5634" max="5634" width="6.7109375" style="307" bestFit="1" customWidth="1"/>
    <col min="5635" max="5638" width="16.7109375" style="307" customWidth="1"/>
    <col min="5639" max="5888" width="8.85546875" style="307"/>
    <col min="5889" max="5889" width="4.7109375" style="307" customWidth="1"/>
    <col min="5890" max="5890" width="6.7109375" style="307" bestFit="1" customWidth="1"/>
    <col min="5891" max="5894" width="16.7109375" style="307" customWidth="1"/>
    <col min="5895" max="6144" width="8.85546875" style="307"/>
    <col min="6145" max="6145" width="4.7109375" style="307" customWidth="1"/>
    <col min="6146" max="6146" width="6.7109375" style="307" bestFit="1" customWidth="1"/>
    <col min="6147" max="6150" width="16.7109375" style="307" customWidth="1"/>
    <col min="6151" max="6400" width="8.85546875" style="307"/>
    <col min="6401" max="6401" width="4.7109375" style="307" customWidth="1"/>
    <col min="6402" max="6402" width="6.7109375" style="307" bestFit="1" customWidth="1"/>
    <col min="6403" max="6406" width="16.7109375" style="307" customWidth="1"/>
    <col min="6407" max="6656" width="8.85546875" style="307"/>
    <col min="6657" max="6657" width="4.7109375" style="307" customWidth="1"/>
    <col min="6658" max="6658" width="6.7109375" style="307" bestFit="1" customWidth="1"/>
    <col min="6659" max="6662" width="16.7109375" style="307" customWidth="1"/>
    <col min="6663" max="6912" width="8.85546875" style="307"/>
    <col min="6913" max="6913" width="4.7109375" style="307" customWidth="1"/>
    <col min="6914" max="6914" width="6.7109375" style="307" bestFit="1" customWidth="1"/>
    <col min="6915" max="6918" width="16.7109375" style="307" customWidth="1"/>
    <col min="6919" max="7168" width="8.85546875" style="307"/>
    <col min="7169" max="7169" width="4.7109375" style="307" customWidth="1"/>
    <col min="7170" max="7170" width="6.7109375" style="307" bestFit="1" customWidth="1"/>
    <col min="7171" max="7174" width="16.7109375" style="307" customWidth="1"/>
    <col min="7175" max="7424" width="8.85546875" style="307"/>
    <col min="7425" max="7425" width="4.7109375" style="307" customWidth="1"/>
    <col min="7426" max="7426" width="6.7109375" style="307" bestFit="1" customWidth="1"/>
    <col min="7427" max="7430" width="16.7109375" style="307" customWidth="1"/>
    <col min="7431" max="7680" width="8.85546875" style="307"/>
    <col min="7681" max="7681" width="4.7109375" style="307" customWidth="1"/>
    <col min="7682" max="7682" width="6.7109375" style="307" bestFit="1" customWidth="1"/>
    <col min="7683" max="7686" width="16.7109375" style="307" customWidth="1"/>
    <col min="7687" max="7936" width="8.85546875" style="307"/>
    <col min="7937" max="7937" width="4.7109375" style="307" customWidth="1"/>
    <col min="7938" max="7938" width="6.7109375" style="307" bestFit="1" customWidth="1"/>
    <col min="7939" max="7942" width="16.7109375" style="307" customWidth="1"/>
    <col min="7943" max="8192" width="8.85546875" style="307"/>
    <col min="8193" max="8193" width="4.7109375" style="307" customWidth="1"/>
    <col min="8194" max="8194" width="6.7109375" style="307" bestFit="1" customWidth="1"/>
    <col min="8195" max="8198" width="16.7109375" style="307" customWidth="1"/>
    <col min="8199" max="8448" width="8.85546875" style="307"/>
    <col min="8449" max="8449" width="4.7109375" style="307" customWidth="1"/>
    <col min="8450" max="8450" width="6.7109375" style="307" bestFit="1" customWidth="1"/>
    <col min="8451" max="8454" width="16.7109375" style="307" customWidth="1"/>
    <col min="8455" max="8704" width="8.85546875" style="307"/>
    <col min="8705" max="8705" width="4.7109375" style="307" customWidth="1"/>
    <col min="8706" max="8706" width="6.7109375" style="307" bestFit="1" customWidth="1"/>
    <col min="8707" max="8710" width="16.7109375" style="307" customWidth="1"/>
    <col min="8711" max="8960" width="8.85546875" style="307"/>
    <col min="8961" max="8961" width="4.7109375" style="307" customWidth="1"/>
    <col min="8962" max="8962" width="6.7109375" style="307" bestFit="1" customWidth="1"/>
    <col min="8963" max="8966" width="16.7109375" style="307" customWidth="1"/>
    <col min="8967" max="9216" width="8.85546875" style="307"/>
    <col min="9217" max="9217" width="4.7109375" style="307" customWidth="1"/>
    <col min="9218" max="9218" width="6.7109375" style="307" bestFit="1" customWidth="1"/>
    <col min="9219" max="9222" width="16.7109375" style="307" customWidth="1"/>
    <col min="9223" max="9472" width="8.85546875" style="307"/>
    <col min="9473" max="9473" width="4.7109375" style="307" customWidth="1"/>
    <col min="9474" max="9474" width="6.7109375" style="307" bestFit="1" customWidth="1"/>
    <col min="9475" max="9478" width="16.7109375" style="307" customWidth="1"/>
    <col min="9479" max="9728" width="8.85546875" style="307"/>
    <col min="9729" max="9729" width="4.7109375" style="307" customWidth="1"/>
    <col min="9730" max="9730" width="6.7109375" style="307" bestFit="1" customWidth="1"/>
    <col min="9731" max="9734" width="16.7109375" style="307" customWidth="1"/>
    <col min="9735" max="9984" width="8.85546875" style="307"/>
    <col min="9985" max="9985" width="4.7109375" style="307" customWidth="1"/>
    <col min="9986" max="9986" width="6.7109375" style="307" bestFit="1" customWidth="1"/>
    <col min="9987" max="9990" width="16.7109375" style="307" customWidth="1"/>
    <col min="9991" max="10240" width="8.85546875" style="307"/>
    <col min="10241" max="10241" width="4.7109375" style="307" customWidth="1"/>
    <col min="10242" max="10242" width="6.7109375" style="307" bestFit="1" customWidth="1"/>
    <col min="10243" max="10246" width="16.7109375" style="307" customWidth="1"/>
    <col min="10247" max="10496" width="8.85546875" style="307"/>
    <col min="10497" max="10497" width="4.7109375" style="307" customWidth="1"/>
    <col min="10498" max="10498" width="6.7109375" style="307" bestFit="1" customWidth="1"/>
    <col min="10499" max="10502" width="16.7109375" style="307" customWidth="1"/>
    <col min="10503" max="10752" width="8.85546875" style="307"/>
    <col min="10753" max="10753" width="4.7109375" style="307" customWidth="1"/>
    <col min="10754" max="10754" width="6.7109375" style="307" bestFit="1" customWidth="1"/>
    <col min="10755" max="10758" width="16.7109375" style="307" customWidth="1"/>
    <col min="10759" max="11008" width="8.85546875" style="307"/>
    <col min="11009" max="11009" width="4.7109375" style="307" customWidth="1"/>
    <col min="11010" max="11010" width="6.7109375" style="307" bestFit="1" customWidth="1"/>
    <col min="11011" max="11014" width="16.7109375" style="307" customWidth="1"/>
    <col min="11015" max="11264" width="8.85546875" style="307"/>
    <col min="11265" max="11265" width="4.7109375" style="307" customWidth="1"/>
    <col min="11266" max="11266" width="6.7109375" style="307" bestFit="1" customWidth="1"/>
    <col min="11267" max="11270" width="16.7109375" style="307" customWidth="1"/>
    <col min="11271" max="11520" width="8.85546875" style="307"/>
    <col min="11521" max="11521" width="4.7109375" style="307" customWidth="1"/>
    <col min="11522" max="11522" width="6.7109375" style="307" bestFit="1" customWidth="1"/>
    <col min="11523" max="11526" width="16.7109375" style="307" customWidth="1"/>
    <col min="11527" max="11776" width="8.85546875" style="307"/>
    <col min="11777" max="11777" width="4.7109375" style="307" customWidth="1"/>
    <col min="11778" max="11778" width="6.7109375" style="307" bestFit="1" customWidth="1"/>
    <col min="11779" max="11782" width="16.7109375" style="307" customWidth="1"/>
    <col min="11783" max="12032" width="8.85546875" style="307"/>
    <col min="12033" max="12033" width="4.7109375" style="307" customWidth="1"/>
    <col min="12034" max="12034" width="6.7109375" style="307" bestFit="1" customWidth="1"/>
    <col min="12035" max="12038" width="16.7109375" style="307" customWidth="1"/>
    <col min="12039" max="12288" width="8.85546875" style="307"/>
    <col min="12289" max="12289" width="4.7109375" style="307" customWidth="1"/>
    <col min="12290" max="12290" width="6.7109375" style="307" bestFit="1" customWidth="1"/>
    <col min="12291" max="12294" width="16.7109375" style="307" customWidth="1"/>
    <col min="12295" max="12544" width="8.85546875" style="307"/>
    <col min="12545" max="12545" width="4.7109375" style="307" customWidth="1"/>
    <col min="12546" max="12546" width="6.7109375" style="307" bestFit="1" customWidth="1"/>
    <col min="12547" max="12550" width="16.7109375" style="307" customWidth="1"/>
    <col min="12551" max="12800" width="8.85546875" style="307"/>
    <col min="12801" max="12801" width="4.7109375" style="307" customWidth="1"/>
    <col min="12802" max="12802" width="6.7109375" style="307" bestFit="1" customWidth="1"/>
    <col min="12803" max="12806" width="16.7109375" style="307" customWidth="1"/>
    <col min="12807" max="13056" width="8.85546875" style="307"/>
    <col min="13057" max="13057" width="4.7109375" style="307" customWidth="1"/>
    <col min="13058" max="13058" width="6.7109375" style="307" bestFit="1" customWidth="1"/>
    <col min="13059" max="13062" width="16.7109375" style="307" customWidth="1"/>
    <col min="13063" max="13312" width="8.85546875" style="307"/>
    <col min="13313" max="13313" width="4.7109375" style="307" customWidth="1"/>
    <col min="13314" max="13314" width="6.7109375" style="307" bestFit="1" customWidth="1"/>
    <col min="13315" max="13318" width="16.7109375" style="307" customWidth="1"/>
    <col min="13319" max="13568" width="8.85546875" style="307"/>
    <col min="13569" max="13569" width="4.7109375" style="307" customWidth="1"/>
    <col min="13570" max="13570" width="6.7109375" style="307" bestFit="1" customWidth="1"/>
    <col min="13571" max="13574" width="16.7109375" style="307" customWidth="1"/>
    <col min="13575" max="13824" width="8.85546875" style="307"/>
    <col min="13825" max="13825" width="4.7109375" style="307" customWidth="1"/>
    <col min="13826" max="13826" width="6.7109375" style="307" bestFit="1" customWidth="1"/>
    <col min="13827" max="13830" width="16.7109375" style="307" customWidth="1"/>
    <col min="13831" max="14080" width="8.85546875" style="307"/>
    <col min="14081" max="14081" width="4.7109375" style="307" customWidth="1"/>
    <col min="14082" max="14082" width="6.7109375" style="307" bestFit="1" customWidth="1"/>
    <col min="14083" max="14086" width="16.7109375" style="307" customWidth="1"/>
    <col min="14087" max="14336" width="8.85546875" style="307"/>
    <col min="14337" max="14337" width="4.7109375" style="307" customWidth="1"/>
    <col min="14338" max="14338" width="6.7109375" style="307" bestFit="1" customWidth="1"/>
    <col min="14339" max="14342" width="16.7109375" style="307" customWidth="1"/>
    <col min="14343" max="14592" width="8.85546875" style="307"/>
    <col min="14593" max="14593" width="4.7109375" style="307" customWidth="1"/>
    <col min="14594" max="14594" width="6.7109375" style="307" bestFit="1" customWidth="1"/>
    <col min="14595" max="14598" width="16.7109375" style="307" customWidth="1"/>
    <col min="14599" max="14848" width="8.85546875" style="307"/>
    <col min="14849" max="14849" width="4.7109375" style="307" customWidth="1"/>
    <col min="14850" max="14850" width="6.7109375" style="307" bestFit="1" customWidth="1"/>
    <col min="14851" max="14854" width="16.7109375" style="307" customWidth="1"/>
    <col min="14855" max="15104" width="8.85546875" style="307"/>
    <col min="15105" max="15105" width="4.7109375" style="307" customWidth="1"/>
    <col min="15106" max="15106" width="6.7109375" style="307" bestFit="1" customWidth="1"/>
    <col min="15107" max="15110" width="16.7109375" style="307" customWidth="1"/>
    <col min="15111" max="15360" width="8.85546875" style="307"/>
    <col min="15361" max="15361" width="4.7109375" style="307" customWidth="1"/>
    <col min="15362" max="15362" width="6.7109375" style="307" bestFit="1" customWidth="1"/>
    <col min="15363" max="15366" width="16.7109375" style="307" customWidth="1"/>
    <col min="15367" max="15616" width="8.85546875" style="307"/>
    <col min="15617" max="15617" width="4.7109375" style="307" customWidth="1"/>
    <col min="15618" max="15618" width="6.7109375" style="307" bestFit="1" customWidth="1"/>
    <col min="15619" max="15622" width="16.7109375" style="307" customWidth="1"/>
    <col min="15623" max="15872" width="8.85546875" style="307"/>
    <col min="15873" max="15873" width="4.7109375" style="307" customWidth="1"/>
    <col min="15874" max="15874" width="6.7109375" style="307" bestFit="1" customWidth="1"/>
    <col min="15875" max="15878" width="16.7109375" style="307" customWidth="1"/>
    <col min="15879" max="16128" width="8.85546875" style="307"/>
    <col min="16129" max="16129" width="4.7109375" style="307" customWidth="1"/>
    <col min="16130" max="16130" width="6.7109375" style="307" bestFit="1" customWidth="1"/>
    <col min="16131" max="16134" width="16.7109375" style="307" customWidth="1"/>
    <col min="16135" max="16384" width="8.85546875" style="307"/>
  </cols>
  <sheetData>
    <row r="1" spans="1:6" ht="18" x14ac:dyDescent="0.25">
      <c r="A1" s="834" t="s">
        <v>57</v>
      </c>
      <c r="B1" s="834"/>
      <c r="C1" s="834"/>
      <c r="D1" s="834"/>
      <c r="E1" s="306"/>
    </row>
    <row r="2" spans="1:6" ht="18.75" thickBot="1" x14ac:dyDescent="0.3">
      <c r="A2" s="306"/>
      <c r="B2" s="306"/>
      <c r="C2" s="306"/>
      <c r="D2" s="306"/>
      <c r="E2" s="306"/>
    </row>
    <row r="3" spans="1:6" ht="18.75" thickBot="1" x14ac:dyDescent="0.3">
      <c r="A3" s="835" t="s">
        <v>208</v>
      </c>
      <c r="B3" s="836"/>
      <c r="C3" s="836"/>
      <c r="D3" s="836"/>
      <c r="E3" s="837"/>
      <c r="F3" s="838"/>
    </row>
    <row r="4" spans="1:6" hidden="1" x14ac:dyDescent="0.25">
      <c r="A4" s="839" t="s">
        <v>35</v>
      </c>
      <c r="B4" s="841" t="s">
        <v>45</v>
      </c>
      <c r="C4" s="843" t="s">
        <v>42</v>
      </c>
      <c r="D4" s="843"/>
      <c r="E4" s="844"/>
      <c r="F4" s="845"/>
    </row>
    <row r="5" spans="1:6" ht="25.5" x14ac:dyDescent="0.25">
      <c r="A5" s="839"/>
      <c r="B5" s="841"/>
      <c r="C5" s="308" t="s">
        <v>55</v>
      </c>
      <c r="D5" s="308" t="s">
        <v>54</v>
      </c>
      <c r="E5" s="309" t="s">
        <v>85</v>
      </c>
      <c r="F5" s="310" t="s">
        <v>209</v>
      </c>
    </row>
    <row r="6" spans="1:6" s="314" customFormat="1" x14ac:dyDescent="0.25">
      <c r="A6" s="840"/>
      <c r="B6" s="842"/>
      <c r="C6" s="311" t="s">
        <v>21</v>
      </c>
      <c r="D6" s="311" t="s">
        <v>21</v>
      </c>
      <c r="E6" s="312" t="s">
        <v>21</v>
      </c>
      <c r="F6" s="313" t="s">
        <v>21</v>
      </c>
    </row>
    <row r="7" spans="1:6" s="314" customFormat="1" x14ac:dyDescent="0.25">
      <c r="A7" s="315">
        <v>1</v>
      </c>
      <c r="B7" s="316" t="s">
        <v>32</v>
      </c>
      <c r="C7" s="317"/>
      <c r="D7" s="317"/>
      <c r="E7" s="318"/>
      <c r="F7" s="319">
        <f>SUM(C7:E7)</f>
        <v>0</v>
      </c>
    </row>
    <row r="8" spans="1:6" s="314" customFormat="1" x14ac:dyDescent="0.25">
      <c r="A8" s="315">
        <v>2</v>
      </c>
      <c r="B8" s="316" t="s">
        <v>75</v>
      </c>
      <c r="C8" s="317"/>
      <c r="D8" s="317"/>
      <c r="E8" s="318"/>
      <c r="F8" s="319">
        <f>SUM(C8:D8)</f>
        <v>0</v>
      </c>
    </row>
    <row r="9" spans="1:6" s="314" customFormat="1" x14ac:dyDescent="0.25">
      <c r="A9" s="315">
        <v>3</v>
      </c>
      <c r="B9" s="316" t="s">
        <v>76</v>
      </c>
      <c r="C9" s="317"/>
      <c r="D9" s="317"/>
      <c r="E9" s="318"/>
      <c r="F9" s="319">
        <f>SUM(C9:D9)</f>
        <v>0</v>
      </c>
    </row>
    <row r="10" spans="1:6" ht="15.75" thickBot="1" x14ac:dyDescent="0.3">
      <c r="A10" s="832" t="s">
        <v>5</v>
      </c>
      <c r="B10" s="833"/>
      <c r="C10" s="320">
        <f>SUM(C7:C9)</f>
        <v>0</v>
      </c>
      <c r="D10" s="320">
        <f t="shared" ref="D10:E10" si="0">SUM(D7:D9)</f>
        <v>0</v>
      </c>
      <c r="E10" s="320">
        <f t="shared" si="0"/>
        <v>0</v>
      </c>
      <c r="F10" s="321">
        <f>SUM(F7:F9)</f>
        <v>0</v>
      </c>
    </row>
    <row r="12" spans="1:6" x14ac:dyDescent="0.25">
      <c r="A12" s="322" t="s">
        <v>210</v>
      </c>
    </row>
    <row r="13" spans="1:6" x14ac:dyDescent="0.25">
      <c r="A13" s="322" t="s">
        <v>211</v>
      </c>
    </row>
    <row r="15" spans="1:6" x14ac:dyDescent="0.25">
      <c r="A15" s="324"/>
    </row>
    <row r="16" spans="1:6" x14ac:dyDescent="0.25">
      <c r="A16" s="324"/>
    </row>
    <row r="18" spans="1:1" x14ac:dyDescent="0.25">
      <c r="A18" s="324"/>
    </row>
  </sheetData>
  <mergeCells count="6">
    <mergeCell ref="A10:B10"/>
    <mergeCell ref="A1:D1"/>
    <mergeCell ref="A3:F3"/>
    <mergeCell ref="A4:A6"/>
    <mergeCell ref="B4:B6"/>
    <mergeCell ref="C4:F4"/>
  </mergeCells>
  <conditionalFormatting sqref="C7:F10">
    <cfRule type="cellIs" dxfId="0" priority="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AS56"/>
  <sheetViews>
    <sheetView view="pageBreakPreview" zoomScaleNormal="100" zoomScaleSheetLayoutView="100" workbookViewId="0">
      <pane xSplit="3" ySplit="2" topLeftCell="AF3" activePane="bottomRight" state="frozen"/>
      <selection pane="topRight" activeCell="D1" sqref="D1"/>
      <selection pane="bottomLeft" activeCell="A3" sqref="A3"/>
      <selection pane="bottomRight" activeCell="AN20" sqref="AN20"/>
    </sheetView>
  </sheetViews>
  <sheetFormatPr defaultColWidth="17.42578125" defaultRowHeight="15" x14ac:dyDescent="0.25"/>
  <cols>
    <col min="1" max="1" width="9.7109375" bestFit="1" customWidth="1"/>
    <col min="2" max="2" width="7.7109375" customWidth="1"/>
    <col min="3" max="3" width="32.28515625" customWidth="1"/>
    <col min="4" max="4" width="33" bestFit="1" customWidth="1"/>
    <col min="5" max="5" width="13" customWidth="1"/>
    <col min="6" max="6" width="15.7109375" customWidth="1"/>
    <col min="7" max="7" width="13.5703125" bestFit="1" customWidth="1"/>
    <col min="8" max="8" width="15.5703125" customWidth="1"/>
    <col min="9" max="9" width="16.5703125" hidden="1" customWidth="1"/>
    <col min="10" max="10" width="20.28515625" hidden="1" customWidth="1"/>
    <col min="11" max="11" width="14.42578125" hidden="1" customWidth="1"/>
    <col min="12" max="12" width="14.140625" hidden="1" customWidth="1"/>
    <col min="13" max="13" width="14.42578125" hidden="1" customWidth="1"/>
    <col min="14" max="14" width="13" customWidth="1"/>
    <col min="15" max="15" width="14.42578125" customWidth="1"/>
    <col min="16" max="16" width="13.28515625" customWidth="1"/>
    <col min="17" max="18" width="14.85546875" customWidth="1"/>
    <col min="19" max="19" width="13.5703125" customWidth="1"/>
    <col min="20" max="20" width="13" customWidth="1"/>
    <col min="21" max="21" width="14.42578125" customWidth="1"/>
    <col min="22" max="22" width="13" customWidth="1"/>
    <col min="23" max="23" width="14.140625" customWidth="1"/>
    <col min="24" max="24" width="11.7109375" customWidth="1"/>
    <col min="25" max="25" width="15.7109375" customWidth="1"/>
    <col min="26" max="26" width="18.5703125" customWidth="1"/>
    <col min="27" max="27" width="13" customWidth="1"/>
    <col min="28" max="28" width="19.42578125" customWidth="1"/>
    <col min="29" max="29" width="14.85546875" customWidth="1"/>
    <col min="30" max="30" width="15.7109375" customWidth="1"/>
    <col min="31" max="32" width="13" customWidth="1"/>
    <col min="33" max="33" width="14.5703125" bestFit="1" customWidth="1"/>
    <col min="34" max="34" width="13.85546875" customWidth="1"/>
    <col min="35" max="35" width="14.5703125" bestFit="1" customWidth="1"/>
    <col min="36" max="36" width="16.7109375" bestFit="1" customWidth="1"/>
    <col min="37" max="37" width="16" bestFit="1" customWidth="1"/>
    <col min="38" max="40" width="16.140625" customWidth="1"/>
    <col min="41" max="41" width="16.28515625" customWidth="1"/>
    <col min="42" max="42" width="17.85546875" customWidth="1"/>
    <col min="43" max="43" width="15.42578125" customWidth="1"/>
  </cols>
  <sheetData>
    <row r="1" spans="1:45" x14ac:dyDescent="0.25">
      <c r="A1" s="673" t="s">
        <v>59</v>
      </c>
      <c r="B1" s="674"/>
      <c r="C1" s="674"/>
      <c r="D1" s="674"/>
      <c r="E1" s="674"/>
      <c r="F1" s="674"/>
      <c r="G1" s="674"/>
      <c r="H1" s="674"/>
      <c r="I1" s="674"/>
      <c r="J1" s="674"/>
      <c r="K1" s="674"/>
      <c r="L1" s="675"/>
      <c r="M1" s="47"/>
      <c r="N1" s="47"/>
      <c r="O1" s="47"/>
      <c r="P1" s="679" t="s">
        <v>46</v>
      </c>
      <c r="Q1" s="680"/>
      <c r="R1" s="680"/>
      <c r="S1" s="680"/>
      <c r="T1" s="680"/>
      <c r="U1" s="680"/>
      <c r="V1" s="680"/>
      <c r="W1" s="680"/>
      <c r="X1" s="680"/>
      <c r="Y1" s="680"/>
      <c r="Z1" s="680"/>
      <c r="AA1" s="680"/>
      <c r="AB1" s="680"/>
      <c r="AC1" s="680"/>
      <c r="AD1" s="680"/>
      <c r="AE1" s="680"/>
      <c r="AF1" s="681"/>
      <c r="AG1" s="676" t="s">
        <v>78</v>
      </c>
      <c r="AH1" s="677"/>
      <c r="AI1" s="677"/>
      <c r="AJ1" s="677"/>
      <c r="AK1" s="677"/>
      <c r="AL1" s="677"/>
      <c r="AM1" s="677"/>
      <c r="AN1" s="678"/>
      <c r="AO1" s="543" t="s">
        <v>60</v>
      </c>
      <c r="AP1" s="544"/>
      <c r="AQ1" s="544"/>
      <c r="AR1" s="540"/>
    </row>
    <row r="2" spans="1:45" ht="81" customHeight="1" x14ac:dyDescent="0.25">
      <c r="A2" s="48" t="s">
        <v>353</v>
      </c>
      <c r="B2" s="48" t="s">
        <v>45</v>
      </c>
      <c r="C2" s="48" t="s">
        <v>61</v>
      </c>
      <c r="D2" s="49" t="s">
        <v>62</v>
      </c>
      <c r="E2" s="48" t="s">
        <v>259</v>
      </c>
      <c r="F2" s="48" t="s">
        <v>63</v>
      </c>
      <c r="G2" s="48" t="s">
        <v>64</v>
      </c>
      <c r="H2" s="48" t="s">
        <v>65</v>
      </c>
      <c r="I2" s="48" t="s">
        <v>66</v>
      </c>
      <c r="J2" s="48" t="s">
        <v>67</v>
      </c>
      <c r="K2" s="48" t="s">
        <v>68</v>
      </c>
      <c r="L2" s="48" t="s">
        <v>69</v>
      </c>
      <c r="M2" s="48" t="s">
        <v>95</v>
      </c>
      <c r="N2" s="48" t="s">
        <v>262</v>
      </c>
      <c r="O2" s="48" t="s">
        <v>263</v>
      </c>
      <c r="P2" s="48" t="s">
        <v>70</v>
      </c>
      <c r="Q2" s="48" t="s">
        <v>355</v>
      </c>
      <c r="R2" s="48"/>
      <c r="S2" s="48" t="s">
        <v>71</v>
      </c>
      <c r="T2" s="48" t="s">
        <v>273</v>
      </c>
      <c r="U2" s="48" t="s">
        <v>125</v>
      </c>
      <c r="V2" s="48" t="s">
        <v>427</v>
      </c>
      <c r="W2" s="48" t="s">
        <v>232</v>
      </c>
      <c r="X2" s="48" t="s">
        <v>72</v>
      </c>
      <c r="Y2" s="48" t="s">
        <v>339</v>
      </c>
      <c r="Z2" s="48" t="s">
        <v>261</v>
      </c>
      <c r="AA2" s="48" t="s">
        <v>260</v>
      </c>
      <c r="AB2" s="48" t="s">
        <v>233</v>
      </c>
      <c r="AC2" s="48" t="s">
        <v>272</v>
      </c>
      <c r="AD2" s="48" t="s">
        <v>334</v>
      </c>
      <c r="AE2" s="48" t="s">
        <v>335</v>
      </c>
      <c r="AF2" s="48" t="s">
        <v>336</v>
      </c>
      <c r="AG2" s="48" t="s">
        <v>265</v>
      </c>
      <c r="AH2" s="48" t="s">
        <v>271</v>
      </c>
      <c r="AI2" s="48" t="s">
        <v>266</v>
      </c>
      <c r="AJ2" s="48" t="s">
        <v>267</v>
      </c>
      <c r="AK2" s="48" t="s">
        <v>264</v>
      </c>
      <c r="AL2" s="48" t="s">
        <v>270</v>
      </c>
      <c r="AM2" s="48" t="s">
        <v>337</v>
      </c>
      <c r="AN2" s="48" t="s">
        <v>338</v>
      </c>
      <c r="AO2" s="48" t="s">
        <v>269</v>
      </c>
      <c r="AP2" s="48" t="s">
        <v>351</v>
      </c>
      <c r="AQ2" s="48" t="s">
        <v>268</v>
      </c>
      <c r="AR2" s="541"/>
    </row>
    <row r="3" spans="1:45" x14ac:dyDescent="0.25">
      <c r="A3" s="50">
        <v>1</v>
      </c>
      <c r="B3" s="50" t="s">
        <v>248</v>
      </c>
      <c r="C3" s="51" t="s">
        <v>437</v>
      </c>
      <c r="D3" s="52" t="s">
        <v>438</v>
      </c>
      <c r="E3" s="52" t="s">
        <v>439</v>
      </c>
      <c r="F3" s="59"/>
      <c r="G3" s="59">
        <v>2137</v>
      </c>
      <c r="H3" s="53"/>
      <c r="I3" s="59"/>
      <c r="J3" s="75"/>
      <c r="K3" s="75"/>
      <c r="L3" s="54"/>
      <c r="M3" s="76"/>
      <c r="N3" s="535">
        <f t="shared" ref="N3:N18" si="0">W3/G3</f>
        <v>188.84816320135644</v>
      </c>
      <c r="O3" s="536">
        <f t="shared" ref="O3:O18" si="1">AK3/G3</f>
        <v>36.292559663079082</v>
      </c>
      <c r="P3" s="55" t="s">
        <v>96</v>
      </c>
      <c r="Q3" s="60">
        <v>290267.22606000002</v>
      </c>
      <c r="R3" s="60"/>
      <c r="S3" s="55" t="s">
        <v>23</v>
      </c>
      <c r="T3" s="56">
        <v>23371.416810000002</v>
      </c>
      <c r="U3" s="60">
        <v>290267.22606000002</v>
      </c>
      <c r="V3" s="60">
        <v>87242</v>
      </c>
      <c r="W3" s="60">
        <f>U3+V3/X3</f>
        <v>403568.52476129873</v>
      </c>
      <c r="X3" s="82">
        <v>0.77</v>
      </c>
      <c r="Y3" s="60">
        <f>U3*X3</f>
        <v>223505.7640662</v>
      </c>
      <c r="Z3" s="60">
        <f>Y3+V3</f>
        <v>310747.7640662</v>
      </c>
      <c r="AA3" s="593">
        <f t="shared" ref="AA3:AA18" si="2">T3/Y3*1000</f>
        <v>104.56740079006481</v>
      </c>
      <c r="AB3" s="60">
        <f t="shared" ref="AB3:AB18" si="3">Z3</f>
        <v>310747.7640662</v>
      </c>
      <c r="AC3" s="534">
        <f>AA3*AB3/1000</f>
        <v>32494.085989726835</v>
      </c>
      <c r="AD3" s="534">
        <v>292867.30294090405</v>
      </c>
      <c r="AE3" s="534">
        <v>17880.461125296002</v>
      </c>
      <c r="AF3" s="534">
        <v>0</v>
      </c>
      <c r="AG3" s="537">
        <v>77557.2</v>
      </c>
      <c r="AH3" s="538">
        <v>10295.640000000001</v>
      </c>
      <c r="AI3" s="583">
        <f>AH3/AG3</f>
        <v>0.13274899042255267</v>
      </c>
      <c r="AJ3" s="539">
        <v>0</v>
      </c>
      <c r="AK3" s="539">
        <v>77557.2</v>
      </c>
      <c r="AL3" s="538">
        <f>AI3*AK3</f>
        <v>10295.640000000001</v>
      </c>
      <c r="AM3" s="539">
        <v>40035.51</v>
      </c>
      <c r="AN3" s="539">
        <v>37521.689999999995</v>
      </c>
      <c r="AO3" s="62">
        <f t="shared" ref="AO3:AO18" si="4">AC3+AL3</f>
        <v>42789.725989726838</v>
      </c>
      <c r="AP3" s="80">
        <v>4274</v>
      </c>
      <c r="AQ3" s="80">
        <f>AO3+AP3</f>
        <v>47063.725989726838</v>
      </c>
      <c r="AR3" s="542"/>
      <c r="AS3" s="325"/>
    </row>
    <row r="4" spans="1:45" x14ac:dyDescent="0.25">
      <c r="A4" s="50">
        <v>2</v>
      </c>
      <c r="B4" s="50" t="s">
        <v>247</v>
      </c>
      <c r="C4" s="51" t="s">
        <v>440</v>
      </c>
      <c r="D4" s="52" t="s">
        <v>438</v>
      </c>
      <c r="E4" s="52" t="s">
        <v>429</v>
      </c>
      <c r="F4" s="59"/>
      <c r="G4" s="59">
        <v>1539</v>
      </c>
      <c r="H4" s="53"/>
      <c r="I4" s="78"/>
      <c r="J4" s="75"/>
      <c r="K4" s="75"/>
      <c r="L4" s="75"/>
      <c r="M4" s="76"/>
      <c r="N4" s="535">
        <f t="shared" si="0"/>
        <v>135.60086186324398</v>
      </c>
      <c r="O4" s="536">
        <f t="shared" si="1"/>
        <v>40.289891704570074</v>
      </c>
      <c r="P4" s="55" t="s">
        <v>96</v>
      </c>
      <c r="Q4" s="60">
        <v>199222.19394</v>
      </c>
      <c r="R4" s="60"/>
      <c r="S4" s="55" t="s">
        <v>23</v>
      </c>
      <c r="T4" s="56">
        <v>16040.753189999999</v>
      </c>
      <c r="U4" s="60">
        <v>199222.19394</v>
      </c>
      <c r="V4" s="60">
        <v>7290</v>
      </c>
      <c r="W4" s="60">
        <f t="shared" ref="W4:W18" si="5">U4+V4/X4</f>
        <v>208689.72640753246</v>
      </c>
      <c r="X4" s="82">
        <v>0.77</v>
      </c>
      <c r="Y4" s="60">
        <f t="shared" ref="Y4:Y18" si="6">U4*X4</f>
        <v>153401.08933379999</v>
      </c>
      <c r="Z4" s="60">
        <f t="shared" ref="Z4:Z18" si="7">Y4+V4</f>
        <v>160691.08933379999</v>
      </c>
      <c r="AA4" s="593">
        <f t="shared" si="2"/>
        <v>104.56740079006481</v>
      </c>
      <c r="AB4" s="60">
        <f t="shared" si="3"/>
        <v>160691.08933379999</v>
      </c>
      <c r="AC4" s="534">
        <f t="shared" ref="AC4:AC18" si="8">AA4*AB4/1000</f>
        <v>16803.049541759574</v>
      </c>
      <c r="AD4" s="534">
        <v>74695.132226039234</v>
      </c>
      <c r="AE4" s="534">
        <v>30300.163400069996</v>
      </c>
      <c r="AF4" s="534">
        <v>55695.793707690762</v>
      </c>
      <c r="AG4" s="537">
        <v>49537.333333333336</v>
      </c>
      <c r="AH4" s="538">
        <v>5200.1566666666658</v>
      </c>
      <c r="AI4" s="583">
        <f t="shared" ref="AI4:AI18" si="9">AH4/AG4</f>
        <v>0.10497449734880088</v>
      </c>
      <c r="AJ4" s="539">
        <v>12468.810000000001</v>
      </c>
      <c r="AK4" s="539">
        <v>62006.143333333341</v>
      </c>
      <c r="AL4" s="538">
        <f t="shared" ref="AL4:AL18" si="10">AI4*AK4</f>
        <v>6509.0637289543683</v>
      </c>
      <c r="AM4" s="539">
        <v>44812.86</v>
      </c>
      <c r="AN4" s="539">
        <v>17193.283333333333</v>
      </c>
      <c r="AO4" s="62">
        <f t="shared" si="4"/>
        <v>23312.11327071394</v>
      </c>
      <c r="AP4" s="80">
        <v>4078</v>
      </c>
      <c r="AQ4" s="80">
        <f t="shared" ref="AQ4:AQ18" si="11">AO4+AP4</f>
        <v>27390.11327071394</v>
      </c>
      <c r="AR4" s="542"/>
      <c r="AS4" s="325"/>
    </row>
    <row r="5" spans="1:45" x14ac:dyDescent="0.25">
      <c r="A5" s="50">
        <v>3</v>
      </c>
      <c r="B5" s="50" t="s">
        <v>241</v>
      </c>
      <c r="C5" s="51" t="s">
        <v>441</v>
      </c>
      <c r="D5" s="52" t="s">
        <v>442</v>
      </c>
      <c r="E5" s="52" t="s">
        <v>439</v>
      </c>
      <c r="F5" s="59"/>
      <c r="G5" s="59">
        <v>1456</v>
      </c>
      <c r="H5" s="53"/>
      <c r="I5" s="78"/>
      <c r="J5" s="75"/>
      <c r="K5" s="75"/>
      <c r="L5" s="75"/>
      <c r="M5" s="76"/>
      <c r="N5" s="535">
        <f t="shared" si="0"/>
        <v>121.60669871794872</v>
      </c>
      <c r="O5" s="536">
        <f t="shared" si="1"/>
        <v>43.955128205128204</v>
      </c>
      <c r="P5" s="55" t="s">
        <v>96</v>
      </c>
      <c r="Q5" s="60">
        <v>177059.35333333333</v>
      </c>
      <c r="R5" s="60"/>
      <c r="S5" s="55" t="s">
        <v>23</v>
      </c>
      <c r="T5" s="56">
        <v>14256.27</v>
      </c>
      <c r="U5" s="60">
        <v>177059.35333333333</v>
      </c>
      <c r="V5" s="60">
        <v>0</v>
      </c>
      <c r="W5" s="60">
        <f t="shared" si="5"/>
        <v>177059.35333333333</v>
      </c>
      <c r="X5" s="82">
        <v>0.85</v>
      </c>
      <c r="Y5" s="60">
        <f t="shared" si="6"/>
        <v>150500.45033333334</v>
      </c>
      <c r="Z5" s="60">
        <f t="shared" si="7"/>
        <v>150500.45033333334</v>
      </c>
      <c r="AA5" s="593">
        <f t="shared" si="2"/>
        <v>94.725763068646941</v>
      </c>
      <c r="AB5" s="60">
        <f t="shared" si="3"/>
        <v>150500.45033333334</v>
      </c>
      <c r="AC5" s="534">
        <f t="shared" si="8"/>
        <v>14256.27</v>
      </c>
      <c r="AD5" s="534">
        <v>127925.38278333333</v>
      </c>
      <c r="AE5" s="534">
        <v>22575.06755</v>
      </c>
      <c r="AF5" s="534">
        <v>0</v>
      </c>
      <c r="AG5" s="537">
        <v>63998.666666666664</v>
      </c>
      <c r="AH5" s="538">
        <v>7650.4866666666667</v>
      </c>
      <c r="AI5" s="583">
        <f t="shared" si="9"/>
        <v>0.11954134461134608</v>
      </c>
      <c r="AJ5" s="539">
        <v>0</v>
      </c>
      <c r="AK5" s="539">
        <v>63998.666666666664</v>
      </c>
      <c r="AL5" s="538">
        <f t="shared" si="10"/>
        <v>7650.4866666666667</v>
      </c>
      <c r="AM5" s="539">
        <v>33606.449999999997</v>
      </c>
      <c r="AN5" s="539">
        <v>30392.216666666667</v>
      </c>
      <c r="AO5" s="62">
        <f t="shared" si="4"/>
        <v>21906.756666666668</v>
      </c>
      <c r="AP5" s="80">
        <v>2912</v>
      </c>
      <c r="AQ5" s="80">
        <f t="shared" si="11"/>
        <v>24818.756666666668</v>
      </c>
      <c r="AR5" s="542"/>
      <c r="AS5" s="325"/>
    </row>
    <row r="6" spans="1:45" x14ac:dyDescent="0.25">
      <c r="A6" s="50">
        <v>4</v>
      </c>
      <c r="B6" s="50" t="s">
        <v>242</v>
      </c>
      <c r="C6" s="51" t="s">
        <v>443</v>
      </c>
      <c r="D6" s="52" t="s">
        <v>444</v>
      </c>
      <c r="E6" s="52" t="s">
        <v>439</v>
      </c>
      <c r="F6" s="59"/>
      <c r="G6" s="59">
        <v>1775</v>
      </c>
      <c r="H6" s="53"/>
      <c r="I6" s="78"/>
      <c r="J6" s="75"/>
      <c r="K6" s="75"/>
      <c r="L6" s="75"/>
      <c r="M6" s="76"/>
      <c r="N6" s="535">
        <f t="shared" si="0"/>
        <v>122.68675117370893</v>
      </c>
      <c r="O6" s="536">
        <f t="shared" si="1"/>
        <v>27.389483568075118</v>
      </c>
      <c r="P6" s="55" t="s">
        <v>257</v>
      </c>
      <c r="Q6" s="60">
        <v>217768.98333333334</v>
      </c>
      <c r="R6" s="60"/>
      <c r="S6" s="55" t="s">
        <v>23</v>
      </c>
      <c r="T6" s="56">
        <v>20133.439999999999</v>
      </c>
      <c r="U6" s="60">
        <v>217768.98333333334</v>
      </c>
      <c r="V6" s="60">
        <v>0</v>
      </c>
      <c r="W6" s="60">
        <f t="shared" si="5"/>
        <v>217768.98333333334</v>
      </c>
      <c r="X6" s="82">
        <v>0.8</v>
      </c>
      <c r="Y6" s="60">
        <f t="shared" si="6"/>
        <v>174215.18666666668</v>
      </c>
      <c r="Z6" s="60">
        <f t="shared" si="7"/>
        <v>174215.18666666668</v>
      </c>
      <c r="AA6" s="593">
        <f t="shared" si="2"/>
        <v>115.56650361671491</v>
      </c>
      <c r="AB6" s="60">
        <f t="shared" si="3"/>
        <v>174215.18666666668</v>
      </c>
      <c r="AC6" s="534">
        <f t="shared" si="8"/>
        <v>20133.439999999995</v>
      </c>
      <c r="AD6" s="534">
        <v>123612.8433432811</v>
      </c>
      <c r="AE6" s="534">
        <v>26132.278000000002</v>
      </c>
      <c r="AF6" s="534">
        <v>24470.065323385566</v>
      </c>
      <c r="AG6" s="537">
        <v>48616.333333333336</v>
      </c>
      <c r="AH6" s="538">
        <v>6049.4933333333329</v>
      </c>
      <c r="AI6" s="583">
        <f t="shared" si="9"/>
        <v>0.12443335230272404</v>
      </c>
      <c r="AJ6" s="539">
        <v>0</v>
      </c>
      <c r="AK6" s="539">
        <v>48616.333333333336</v>
      </c>
      <c r="AL6" s="538">
        <f t="shared" si="10"/>
        <v>6049.4933333333329</v>
      </c>
      <c r="AM6" s="539">
        <v>38295.5</v>
      </c>
      <c r="AN6" s="539">
        <v>10320.833333333336</v>
      </c>
      <c r="AO6" s="62">
        <f t="shared" si="4"/>
        <v>26182.933333333327</v>
      </c>
      <c r="AP6" s="80">
        <v>3550</v>
      </c>
      <c r="AQ6" s="80">
        <f t="shared" si="11"/>
        <v>29732.933333333327</v>
      </c>
      <c r="AR6" s="542"/>
      <c r="AS6" s="325"/>
    </row>
    <row r="7" spans="1:45" x14ac:dyDescent="0.25">
      <c r="A7" s="50">
        <v>5</v>
      </c>
      <c r="B7" s="50" t="s">
        <v>243</v>
      </c>
      <c r="C7" s="51" t="s">
        <v>445</v>
      </c>
      <c r="D7" s="52" t="s">
        <v>446</v>
      </c>
      <c r="E7" s="52" t="s">
        <v>447</v>
      </c>
      <c r="F7" s="59"/>
      <c r="G7" s="59">
        <v>1128</v>
      </c>
      <c r="H7" s="53"/>
      <c r="I7" s="78"/>
      <c r="J7" s="75"/>
      <c r="K7" s="75"/>
      <c r="L7" s="75"/>
      <c r="M7" s="76"/>
      <c r="N7" s="535">
        <f t="shared" si="0"/>
        <v>145.79547925531915</v>
      </c>
      <c r="O7" s="536">
        <f t="shared" si="1"/>
        <v>13.712174940898345</v>
      </c>
      <c r="P7" s="55" t="s">
        <v>96</v>
      </c>
      <c r="Q7" s="60">
        <v>126957.3006</v>
      </c>
      <c r="R7" s="60"/>
      <c r="S7" s="55" t="s">
        <v>23</v>
      </c>
      <c r="T7" s="56">
        <v>10222.2081</v>
      </c>
      <c r="U7" s="60">
        <v>126957.3006</v>
      </c>
      <c r="V7" s="60">
        <v>28125</v>
      </c>
      <c r="W7" s="60">
        <f t="shared" si="5"/>
        <v>164457.30060000002</v>
      </c>
      <c r="X7" s="82">
        <v>0.75</v>
      </c>
      <c r="Y7" s="60">
        <f t="shared" si="6"/>
        <v>95217.975449999998</v>
      </c>
      <c r="Z7" s="60">
        <f t="shared" si="7"/>
        <v>123342.97545</v>
      </c>
      <c r="AA7" s="593">
        <f t="shared" si="2"/>
        <v>107.3558648111332</v>
      </c>
      <c r="AB7" s="60">
        <f t="shared" si="3"/>
        <v>123342.97545</v>
      </c>
      <c r="AC7" s="534">
        <f t="shared" si="8"/>
        <v>13241.591797813122</v>
      </c>
      <c r="AD7" s="534">
        <v>104299.38036</v>
      </c>
      <c r="AE7" s="534">
        <v>19043.595089999999</v>
      </c>
      <c r="AF7" s="534">
        <v>0</v>
      </c>
      <c r="AG7" s="537">
        <v>15467.333333333334</v>
      </c>
      <c r="AH7" s="538">
        <v>2015.9666666666667</v>
      </c>
      <c r="AI7" s="583">
        <f t="shared" si="9"/>
        <v>0.13033705443730872</v>
      </c>
      <c r="AJ7" s="539">
        <v>0</v>
      </c>
      <c r="AK7" s="539">
        <v>15467.333333333334</v>
      </c>
      <c r="AL7" s="538">
        <f t="shared" si="10"/>
        <v>2015.9666666666665</v>
      </c>
      <c r="AM7" s="539">
        <v>11221.74</v>
      </c>
      <c r="AN7" s="539">
        <v>4245.5933333333342</v>
      </c>
      <c r="AO7" s="62">
        <f t="shared" si="4"/>
        <v>15257.558464479789</v>
      </c>
      <c r="AP7" s="80">
        <v>2256</v>
      </c>
      <c r="AQ7" s="80">
        <f t="shared" si="11"/>
        <v>17513.558464479789</v>
      </c>
      <c r="AR7" s="542"/>
      <c r="AS7" s="325"/>
    </row>
    <row r="8" spans="1:45" x14ac:dyDescent="0.25">
      <c r="A8" s="50">
        <v>6</v>
      </c>
      <c r="B8" s="50" t="s">
        <v>244</v>
      </c>
      <c r="C8" s="51" t="s">
        <v>448</v>
      </c>
      <c r="D8" s="52" t="s">
        <v>449</v>
      </c>
      <c r="E8" s="52" t="s">
        <v>439</v>
      </c>
      <c r="F8" s="59"/>
      <c r="G8" s="59">
        <v>1024</v>
      </c>
      <c r="H8" s="53"/>
      <c r="I8" s="78"/>
      <c r="J8" s="75"/>
      <c r="K8" s="75"/>
      <c r="L8" s="75"/>
      <c r="M8" s="76"/>
      <c r="N8" s="535">
        <f t="shared" si="0"/>
        <v>78.59375</v>
      </c>
      <c r="O8" s="536">
        <f t="shared" si="1"/>
        <v>23.428385416666668</v>
      </c>
      <c r="P8" s="55" t="s">
        <v>96</v>
      </c>
      <c r="Q8" s="60">
        <v>80480</v>
      </c>
      <c r="R8" s="60"/>
      <c r="S8" s="55" t="s">
        <v>23</v>
      </c>
      <c r="T8" s="56">
        <v>6480</v>
      </c>
      <c r="U8" s="60">
        <v>80480</v>
      </c>
      <c r="V8" s="60">
        <v>0</v>
      </c>
      <c r="W8" s="60">
        <f t="shared" si="5"/>
        <v>80480</v>
      </c>
      <c r="X8" s="82">
        <v>0.77</v>
      </c>
      <c r="Y8" s="60">
        <f t="shared" si="6"/>
        <v>61969.599999999999</v>
      </c>
      <c r="Z8" s="60">
        <f t="shared" si="7"/>
        <v>61969.599999999999</v>
      </c>
      <c r="AA8" s="593">
        <f t="shared" si="2"/>
        <v>104.56740079006481</v>
      </c>
      <c r="AB8" s="60">
        <f t="shared" si="3"/>
        <v>61969.599999999999</v>
      </c>
      <c r="AC8" s="534">
        <f t="shared" si="8"/>
        <v>6480</v>
      </c>
      <c r="AD8" s="534">
        <v>61969.599999999999</v>
      </c>
      <c r="AE8" s="534">
        <v>0</v>
      </c>
      <c r="AF8" s="534">
        <v>0</v>
      </c>
      <c r="AG8" s="537">
        <v>23990.666666666668</v>
      </c>
      <c r="AH8" s="538">
        <v>2917.5533333333333</v>
      </c>
      <c r="AI8" s="583">
        <f t="shared" si="9"/>
        <v>0.12161201578391596</v>
      </c>
      <c r="AJ8" s="539">
        <v>0</v>
      </c>
      <c r="AK8" s="539">
        <v>23990.666666666668</v>
      </c>
      <c r="AL8" s="538">
        <f t="shared" si="10"/>
        <v>2917.5533333333333</v>
      </c>
      <c r="AM8" s="539">
        <v>17961.077699999998</v>
      </c>
      <c r="AN8" s="539">
        <v>6029.5889666666699</v>
      </c>
      <c r="AO8" s="62">
        <f t="shared" si="4"/>
        <v>9397.5533333333333</v>
      </c>
      <c r="AP8" s="80">
        <v>2048</v>
      </c>
      <c r="AQ8" s="80">
        <f t="shared" si="11"/>
        <v>11445.553333333333</v>
      </c>
      <c r="AR8" s="542"/>
      <c r="AS8" s="325"/>
    </row>
    <row r="9" spans="1:45" x14ac:dyDescent="0.25">
      <c r="A9" s="50">
        <v>7</v>
      </c>
      <c r="B9" s="50" t="s">
        <v>245</v>
      </c>
      <c r="C9" s="51" t="s">
        <v>450</v>
      </c>
      <c r="D9" s="52" t="s">
        <v>451</v>
      </c>
      <c r="E9" s="52" t="s">
        <v>452</v>
      </c>
      <c r="F9" s="59"/>
      <c r="G9" s="59">
        <v>1958</v>
      </c>
      <c r="H9" s="53"/>
      <c r="I9" s="78"/>
      <c r="J9" s="75"/>
      <c r="K9" s="75"/>
      <c r="L9" s="75"/>
      <c r="M9" s="76"/>
      <c r="N9" s="535">
        <f t="shared" si="0"/>
        <v>115.50391556009534</v>
      </c>
      <c r="O9" s="536">
        <f t="shared" si="1"/>
        <v>52.41249574395642</v>
      </c>
      <c r="P9" s="55" t="s">
        <v>256</v>
      </c>
      <c r="Q9" s="60">
        <v>226156.66666666666</v>
      </c>
      <c r="R9" s="60"/>
      <c r="S9" s="55" t="s">
        <v>23</v>
      </c>
      <c r="T9" s="56">
        <v>11873.224999999999</v>
      </c>
      <c r="U9" s="60">
        <v>226156.66666666666</v>
      </c>
      <c r="V9" s="60">
        <v>0</v>
      </c>
      <c r="W9" s="60">
        <f t="shared" si="5"/>
        <v>226156.66666666666</v>
      </c>
      <c r="X9" s="82">
        <v>0.9</v>
      </c>
      <c r="Y9" s="60">
        <f t="shared" si="6"/>
        <v>203541</v>
      </c>
      <c r="Z9" s="60">
        <f t="shared" si="7"/>
        <v>203541</v>
      </c>
      <c r="AA9" s="593">
        <f t="shared" si="2"/>
        <v>58.333333333333329</v>
      </c>
      <c r="AB9" s="60">
        <f t="shared" si="3"/>
        <v>203541</v>
      </c>
      <c r="AC9" s="534">
        <f t="shared" si="8"/>
        <v>11873.224999999999</v>
      </c>
      <c r="AD9" s="534">
        <v>183872.58892079999</v>
      </c>
      <c r="AE9" s="534">
        <v>0</v>
      </c>
      <c r="AF9" s="534">
        <v>19668.411079199999</v>
      </c>
      <c r="AG9" s="537">
        <v>102623.66666666667</v>
      </c>
      <c r="AH9" s="538">
        <v>10572.14</v>
      </c>
      <c r="AI9" s="583">
        <f t="shared" si="9"/>
        <v>0.10301853698464615</v>
      </c>
      <c r="AJ9" s="539">
        <v>0</v>
      </c>
      <c r="AK9" s="539">
        <v>102623.66666666667</v>
      </c>
      <c r="AL9" s="538">
        <f t="shared" si="10"/>
        <v>10572.14</v>
      </c>
      <c r="AM9" s="539">
        <v>62028</v>
      </c>
      <c r="AN9" s="539">
        <v>40595.666666666672</v>
      </c>
      <c r="AO9" s="62">
        <f t="shared" si="4"/>
        <v>22445.364999999998</v>
      </c>
      <c r="AP9" s="80">
        <v>3916</v>
      </c>
      <c r="AQ9" s="80">
        <f t="shared" si="11"/>
        <v>26361.364999999998</v>
      </c>
      <c r="AR9" s="542"/>
      <c r="AS9" s="325"/>
    </row>
    <row r="10" spans="1:45" x14ac:dyDescent="0.25">
      <c r="A10" s="50">
        <v>9</v>
      </c>
      <c r="B10" s="50" t="s">
        <v>246</v>
      </c>
      <c r="C10" s="51" t="s">
        <v>453</v>
      </c>
      <c r="D10" s="52" t="s">
        <v>454</v>
      </c>
      <c r="E10" s="52" t="s">
        <v>439</v>
      </c>
      <c r="F10" s="59"/>
      <c r="G10" s="59">
        <v>2871</v>
      </c>
      <c r="H10" s="53"/>
      <c r="I10" s="78"/>
      <c r="J10" s="75"/>
      <c r="K10" s="75"/>
      <c r="L10" s="75"/>
      <c r="M10" s="76"/>
      <c r="N10" s="535">
        <f t="shared" si="0"/>
        <v>70.61155230465576</v>
      </c>
      <c r="O10" s="536">
        <f t="shared" si="1"/>
        <v>20.774759085103913</v>
      </c>
      <c r="P10" s="55" t="s">
        <v>96</v>
      </c>
      <c r="Q10" s="60">
        <v>202725.76666666669</v>
      </c>
      <c r="R10" s="60"/>
      <c r="S10" s="55" t="s">
        <v>23</v>
      </c>
      <c r="T10" s="56">
        <v>16322.850000000002</v>
      </c>
      <c r="U10" s="60">
        <v>202725.76666666669</v>
      </c>
      <c r="V10" s="60">
        <v>0</v>
      </c>
      <c r="W10" s="60">
        <f t="shared" si="5"/>
        <v>202725.76666666669</v>
      </c>
      <c r="X10" s="82">
        <v>0.85</v>
      </c>
      <c r="Y10" s="60">
        <f t="shared" si="6"/>
        <v>172316.90166666667</v>
      </c>
      <c r="Z10" s="60">
        <f t="shared" si="7"/>
        <v>172316.90166666667</v>
      </c>
      <c r="AA10" s="593">
        <f t="shared" si="2"/>
        <v>94.725763068646955</v>
      </c>
      <c r="AB10" s="60">
        <f t="shared" si="3"/>
        <v>172316.90166666667</v>
      </c>
      <c r="AC10" s="534">
        <f t="shared" si="8"/>
        <v>16322.850000000004</v>
      </c>
      <c r="AD10" s="534">
        <v>123955.38778785916</v>
      </c>
      <c r="AE10" s="534">
        <v>27683.485678807501</v>
      </c>
      <c r="AF10" s="534">
        <v>20678.028200000001</v>
      </c>
      <c r="AG10" s="537">
        <v>59644.333333333336</v>
      </c>
      <c r="AH10" s="538">
        <v>6646.6533333333327</v>
      </c>
      <c r="AI10" s="583">
        <f t="shared" si="9"/>
        <v>0.11143813606210144</v>
      </c>
      <c r="AJ10" s="539">
        <v>0</v>
      </c>
      <c r="AK10" s="539">
        <v>59644.333333333336</v>
      </c>
      <c r="AL10" s="538">
        <f t="shared" si="10"/>
        <v>6646.6533333333327</v>
      </c>
      <c r="AM10" s="539">
        <v>42694.229999999996</v>
      </c>
      <c r="AN10" s="539">
        <v>16950.10333333334</v>
      </c>
      <c r="AO10" s="62">
        <f t="shared" si="4"/>
        <v>22969.503333333338</v>
      </c>
      <c r="AP10" s="80">
        <v>5742</v>
      </c>
      <c r="AQ10" s="80">
        <f t="shared" si="11"/>
        <v>28711.503333333338</v>
      </c>
      <c r="AR10" s="542"/>
      <c r="AS10" s="325"/>
    </row>
    <row r="11" spans="1:45" x14ac:dyDescent="0.25">
      <c r="A11" s="50">
        <v>10</v>
      </c>
      <c r="B11" s="50" t="s">
        <v>426</v>
      </c>
      <c r="C11" s="51" t="s">
        <v>455</v>
      </c>
      <c r="D11" s="52" t="s">
        <v>456</v>
      </c>
      <c r="E11" s="52" t="s">
        <v>439</v>
      </c>
      <c r="F11" s="59"/>
      <c r="G11" s="59">
        <v>844</v>
      </c>
      <c r="H11" s="53"/>
      <c r="I11" s="78"/>
      <c r="J11" s="75"/>
      <c r="K11" s="75"/>
      <c r="L11" s="75"/>
      <c r="M11" s="76"/>
      <c r="N11" s="535">
        <f t="shared" si="0"/>
        <v>104.86715639810427</v>
      </c>
      <c r="O11" s="536">
        <f t="shared" si="1"/>
        <v>37.81990521327014</v>
      </c>
      <c r="P11" s="55" t="s">
        <v>96</v>
      </c>
      <c r="Q11" s="60">
        <v>88507.88</v>
      </c>
      <c r="R11" s="60"/>
      <c r="S11" s="55" t="s">
        <v>23</v>
      </c>
      <c r="T11" s="56">
        <v>7126.38</v>
      </c>
      <c r="U11" s="60">
        <v>88507.88</v>
      </c>
      <c r="V11" s="60">
        <v>0</v>
      </c>
      <c r="W11" s="60">
        <f t="shared" si="5"/>
        <v>88507.88</v>
      </c>
      <c r="X11" s="82">
        <v>0.8</v>
      </c>
      <c r="Y11" s="60">
        <f t="shared" si="6"/>
        <v>70806.304000000004</v>
      </c>
      <c r="Z11" s="60">
        <f t="shared" si="7"/>
        <v>70806.304000000004</v>
      </c>
      <c r="AA11" s="593">
        <f t="shared" si="2"/>
        <v>100.64612326043736</v>
      </c>
      <c r="AB11" s="60">
        <f t="shared" si="3"/>
        <v>70806.304000000004</v>
      </c>
      <c r="AC11" s="534">
        <f t="shared" si="8"/>
        <v>7126.3799999999992</v>
      </c>
      <c r="AD11" s="534">
        <v>55228.917120000006</v>
      </c>
      <c r="AE11" s="534">
        <v>10620.945600000001</v>
      </c>
      <c r="AF11" s="534">
        <v>4956.4412800000009</v>
      </c>
      <c r="AG11" s="537">
        <v>31920</v>
      </c>
      <c r="AH11" s="538">
        <v>3388.5266666666666</v>
      </c>
      <c r="AI11" s="583">
        <f t="shared" si="9"/>
        <v>0.10615685045948203</v>
      </c>
      <c r="AJ11" s="539">
        <v>0</v>
      </c>
      <c r="AK11" s="539">
        <v>31920</v>
      </c>
      <c r="AL11" s="538">
        <f t="shared" si="10"/>
        <v>3388.5266666666666</v>
      </c>
      <c r="AM11" s="539">
        <v>15912.21</v>
      </c>
      <c r="AN11" s="539">
        <v>16007.79</v>
      </c>
      <c r="AO11" s="62">
        <f t="shared" si="4"/>
        <v>10514.906666666666</v>
      </c>
      <c r="AP11" s="80">
        <v>1688</v>
      </c>
      <c r="AQ11" s="80">
        <f t="shared" si="11"/>
        <v>12202.906666666666</v>
      </c>
      <c r="AR11" s="542"/>
      <c r="AS11" s="325"/>
    </row>
    <row r="12" spans="1:45" x14ac:dyDescent="0.25">
      <c r="A12" s="50">
        <v>11</v>
      </c>
      <c r="B12" s="50" t="s">
        <v>249</v>
      </c>
      <c r="C12" s="51" t="s">
        <v>457</v>
      </c>
      <c r="D12" s="52" t="s">
        <v>458</v>
      </c>
      <c r="E12" s="52" t="s">
        <v>429</v>
      </c>
      <c r="F12" s="59"/>
      <c r="G12" s="59">
        <v>830</v>
      </c>
      <c r="H12" s="53"/>
      <c r="I12" s="78"/>
      <c r="J12" s="75"/>
      <c r="K12" s="75"/>
      <c r="L12" s="75"/>
      <c r="M12" s="76"/>
      <c r="N12" s="535">
        <f t="shared" si="0"/>
        <v>343.41769477911652</v>
      </c>
      <c r="O12" s="536">
        <f t="shared" si="1"/>
        <v>33.538131244979922</v>
      </c>
      <c r="P12" s="55" t="s">
        <v>96</v>
      </c>
      <c r="Q12" s="60">
        <v>285036.6866666667</v>
      </c>
      <c r="R12" s="60"/>
      <c r="S12" s="55" t="s">
        <v>23</v>
      </c>
      <c r="T12" s="56">
        <v>22950.270000000004</v>
      </c>
      <c r="U12" s="60">
        <v>285036.6866666667</v>
      </c>
      <c r="V12" s="60">
        <v>0</v>
      </c>
      <c r="W12" s="60">
        <f t="shared" si="5"/>
        <v>285036.6866666667</v>
      </c>
      <c r="X12" s="82">
        <v>0.85</v>
      </c>
      <c r="Y12" s="60">
        <f t="shared" si="6"/>
        <v>242281.18366666668</v>
      </c>
      <c r="Z12" s="60">
        <f t="shared" si="7"/>
        <v>242281.18366666668</v>
      </c>
      <c r="AA12" s="593">
        <f t="shared" si="2"/>
        <v>94.725763068646955</v>
      </c>
      <c r="AB12" s="60">
        <f t="shared" si="3"/>
        <v>242281.18366666668</v>
      </c>
      <c r="AC12" s="534">
        <f t="shared" si="8"/>
        <v>22950.270000000004</v>
      </c>
      <c r="AD12" s="534">
        <v>195301.35589158116</v>
      </c>
      <c r="AE12" s="534">
        <v>19530.581071570523</v>
      </c>
      <c r="AF12" s="534">
        <v>27449.246703515004</v>
      </c>
      <c r="AG12" s="537">
        <v>27836.648933333334</v>
      </c>
      <c r="AH12" s="538">
        <v>3402.5750573333335</v>
      </c>
      <c r="AI12" s="583">
        <f t="shared" si="9"/>
        <v>0.12223364477104422</v>
      </c>
      <c r="AJ12" s="539">
        <v>0</v>
      </c>
      <c r="AK12" s="539">
        <v>27836.648933333334</v>
      </c>
      <c r="AL12" s="538">
        <f t="shared" si="10"/>
        <v>3402.5750573333335</v>
      </c>
      <c r="AM12" s="539">
        <v>21104.136899999998</v>
      </c>
      <c r="AN12" s="539">
        <v>6732.5120333333361</v>
      </c>
      <c r="AO12" s="62">
        <f t="shared" si="4"/>
        <v>26352.845057333339</v>
      </c>
      <c r="AP12" s="80">
        <v>1660</v>
      </c>
      <c r="AQ12" s="80">
        <f t="shared" si="11"/>
        <v>28012.845057333339</v>
      </c>
      <c r="AR12" s="542"/>
      <c r="AS12" s="325"/>
    </row>
    <row r="13" spans="1:45" x14ac:dyDescent="0.25">
      <c r="A13" s="50">
        <v>12</v>
      </c>
      <c r="B13" s="50" t="s">
        <v>250</v>
      </c>
      <c r="C13" s="51" t="s">
        <v>459</v>
      </c>
      <c r="D13" s="52" t="s">
        <v>460</v>
      </c>
      <c r="E13" s="52" t="s">
        <v>439</v>
      </c>
      <c r="F13" s="59"/>
      <c r="G13" s="59">
        <v>6218</v>
      </c>
      <c r="H13" s="53"/>
      <c r="I13" s="78"/>
      <c r="J13" s="75"/>
      <c r="K13" s="75"/>
      <c r="L13" s="75"/>
      <c r="M13" s="76"/>
      <c r="N13" s="535">
        <f t="shared" si="0"/>
        <v>64.881170258389631</v>
      </c>
      <c r="O13" s="536">
        <f t="shared" si="1"/>
        <v>18.391122547442908</v>
      </c>
      <c r="P13" s="55" t="s">
        <v>256</v>
      </c>
      <c r="Q13" s="60">
        <v>403431.1166666667</v>
      </c>
      <c r="R13" s="60"/>
      <c r="S13" s="55" t="s">
        <v>23</v>
      </c>
      <c r="T13" s="56">
        <v>21180.133625000002</v>
      </c>
      <c r="U13" s="60">
        <v>403431.1166666667</v>
      </c>
      <c r="V13" s="60">
        <v>0</v>
      </c>
      <c r="W13" s="60">
        <f t="shared" si="5"/>
        <v>403431.1166666667</v>
      </c>
      <c r="X13" s="82">
        <v>0.85</v>
      </c>
      <c r="Y13" s="60">
        <f t="shared" si="6"/>
        <v>342916.44916666666</v>
      </c>
      <c r="Z13" s="60">
        <f t="shared" si="7"/>
        <v>342916.44916666666</v>
      </c>
      <c r="AA13" s="593">
        <f t="shared" si="2"/>
        <v>61.764705882352949</v>
      </c>
      <c r="AB13" s="60">
        <f t="shared" si="3"/>
        <v>342916.44916666666</v>
      </c>
      <c r="AC13" s="534">
        <f t="shared" si="8"/>
        <v>21180.133625000002</v>
      </c>
      <c r="AD13" s="534">
        <v>244156.51180666665</v>
      </c>
      <c r="AE13" s="534">
        <v>68583.289833333329</v>
      </c>
      <c r="AF13" s="534">
        <v>30176.647526666664</v>
      </c>
      <c r="AG13" s="537">
        <v>114356</v>
      </c>
      <c r="AH13" s="538">
        <v>13590.745739999998</v>
      </c>
      <c r="AI13" s="583">
        <f t="shared" si="9"/>
        <v>0.11884593497499037</v>
      </c>
      <c r="AJ13" s="539">
        <v>0</v>
      </c>
      <c r="AK13" s="539">
        <v>114356</v>
      </c>
      <c r="AL13" s="538">
        <f t="shared" si="10"/>
        <v>13590.745739999998</v>
      </c>
      <c r="AM13" s="539">
        <v>88606.81</v>
      </c>
      <c r="AN13" s="539">
        <v>25749.190000000002</v>
      </c>
      <c r="AO13" s="62">
        <f t="shared" si="4"/>
        <v>34770.879365000001</v>
      </c>
      <c r="AP13" s="80">
        <v>12436</v>
      </c>
      <c r="AQ13" s="80">
        <f t="shared" si="11"/>
        <v>47206.879365000001</v>
      </c>
      <c r="AR13" s="542"/>
      <c r="AS13" s="325"/>
    </row>
    <row r="14" spans="1:45" x14ac:dyDescent="0.25">
      <c r="A14" s="50">
        <v>13</v>
      </c>
      <c r="B14" s="50" t="s">
        <v>251</v>
      </c>
      <c r="C14" s="51" t="s">
        <v>461</v>
      </c>
      <c r="D14" s="52" t="s">
        <v>462</v>
      </c>
      <c r="E14" s="52" t="s">
        <v>463</v>
      </c>
      <c r="F14" s="59"/>
      <c r="G14" s="59">
        <v>2470</v>
      </c>
      <c r="H14" s="53"/>
      <c r="I14" s="78"/>
      <c r="J14" s="75"/>
      <c r="K14" s="75"/>
      <c r="L14" s="75"/>
      <c r="M14" s="76"/>
      <c r="N14" s="535">
        <f t="shared" si="0"/>
        <v>117.63696356275304</v>
      </c>
      <c r="O14" s="536">
        <f t="shared" si="1"/>
        <v>43.916094466936578</v>
      </c>
      <c r="P14" s="55" t="s">
        <v>474</v>
      </c>
      <c r="Q14" s="60">
        <v>290563.3</v>
      </c>
      <c r="R14" s="60"/>
      <c r="S14" s="55" t="s">
        <v>23</v>
      </c>
      <c r="T14" s="56">
        <v>19493.296213467882</v>
      </c>
      <c r="U14" s="60">
        <v>290563.3</v>
      </c>
      <c r="V14" s="60">
        <v>0</v>
      </c>
      <c r="W14" s="60">
        <f t="shared" si="5"/>
        <v>290563.3</v>
      </c>
      <c r="X14" s="82">
        <v>1</v>
      </c>
      <c r="Y14" s="60">
        <v>398658</v>
      </c>
      <c r="Z14" s="60">
        <f t="shared" si="7"/>
        <v>398658</v>
      </c>
      <c r="AA14" s="593">
        <f t="shared" si="2"/>
        <v>48.897290944789475</v>
      </c>
      <c r="AB14" s="60">
        <f t="shared" si="3"/>
        <v>398658</v>
      </c>
      <c r="AC14" s="534">
        <f t="shared" si="8"/>
        <v>19493.296213467882</v>
      </c>
      <c r="AD14" s="534">
        <v>350819.04</v>
      </c>
      <c r="AE14" s="534">
        <v>47838.96</v>
      </c>
      <c r="AF14" s="534">
        <v>0</v>
      </c>
      <c r="AG14" s="537">
        <v>108472.75333333334</v>
      </c>
      <c r="AH14" s="538">
        <v>11058.675186532115</v>
      </c>
      <c r="AI14" s="583">
        <f t="shared" si="9"/>
        <v>0.10194887514792914</v>
      </c>
      <c r="AJ14" s="539">
        <v>0</v>
      </c>
      <c r="AK14" s="539">
        <v>108472.75333333334</v>
      </c>
      <c r="AL14" s="538">
        <f t="shared" si="10"/>
        <v>11058.675186532115</v>
      </c>
      <c r="AM14" s="539">
        <v>35342.639999999999</v>
      </c>
      <c r="AN14" s="539">
        <v>73130.113333333342</v>
      </c>
      <c r="AO14" s="62">
        <f t="shared" si="4"/>
        <v>30551.971399999995</v>
      </c>
      <c r="AP14" s="80">
        <v>4940</v>
      </c>
      <c r="AQ14" s="80">
        <f t="shared" si="11"/>
        <v>35491.971399999995</v>
      </c>
      <c r="AR14" s="542"/>
      <c r="AS14" s="325"/>
    </row>
    <row r="15" spans="1:45" x14ac:dyDescent="0.25">
      <c r="A15" s="50">
        <v>14</v>
      </c>
      <c r="B15" s="50" t="s">
        <v>252</v>
      </c>
      <c r="C15" s="51" t="s">
        <v>464</v>
      </c>
      <c r="D15" s="52" t="s">
        <v>465</v>
      </c>
      <c r="E15" s="52" t="s">
        <v>466</v>
      </c>
      <c r="F15" s="59"/>
      <c r="G15" s="59">
        <v>2187</v>
      </c>
      <c r="H15" s="53"/>
      <c r="I15" s="78"/>
      <c r="J15" s="75"/>
      <c r="K15" s="75"/>
      <c r="L15" s="75"/>
      <c r="M15" s="76"/>
      <c r="N15" s="535">
        <f t="shared" si="0"/>
        <v>113.02687598435196</v>
      </c>
      <c r="O15" s="536">
        <f t="shared" si="1"/>
        <v>59.769394909312609</v>
      </c>
      <c r="P15" s="55" t="s">
        <v>256</v>
      </c>
      <c r="Q15" s="60">
        <v>219411.99999999997</v>
      </c>
      <c r="R15" s="60"/>
      <c r="S15" s="55" t="s">
        <v>23</v>
      </c>
      <c r="T15" s="56">
        <v>11519.129999999997</v>
      </c>
      <c r="U15" s="60">
        <v>219411.99999999997</v>
      </c>
      <c r="V15" s="60">
        <v>25000</v>
      </c>
      <c r="W15" s="60">
        <f t="shared" si="5"/>
        <v>247189.77777777775</v>
      </c>
      <c r="X15" s="82">
        <v>0.9</v>
      </c>
      <c r="Y15" s="60">
        <f t="shared" si="6"/>
        <v>197470.8</v>
      </c>
      <c r="Z15" s="60">
        <f t="shared" si="7"/>
        <v>222470.8</v>
      </c>
      <c r="AA15" s="593">
        <f t="shared" si="2"/>
        <v>58.333333333333321</v>
      </c>
      <c r="AB15" s="60">
        <f t="shared" si="3"/>
        <v>222470.8</v>
      </c>
      <c r="AC15" s="534">
        <f t="shared" si="8"/>
        <v>12977.46333333333</v>
      </c>
      <c r="AD15" s="534">
        <v>144483.06454360002</v>
      </c>
      <c r="AE15" s="534">
        <v>50740.714472400003</v>
      </c>
      <c r="AF15" s="534">
        <v>27247.020984000002</v>
      </c>
      <c r="AG15" s="537">
        <v>130715.66666666667</v>
      </c>
      <c r="AH15" s="538">
        <v>14091.275875938951</v>
      </c>
      <c r="AI15" s="583">
        <f t="shared" si="9"/>
        <v>0.10780097164536985</v>
      </c>
      <c r="AJ15" s="539">
        <v>0</v>
      </c>
      <c r="AK15" s="539">
        <v>130715.66666666667</v>
      </c>
      <c r="AL15" s="538">
        <f t="shared" si="10"/>
        <v>14091.275875938951</v>
      </c>
      <c r="AM15" s="539">
        <v>67219.812149999998</v>
      </c>
      <c r="AN15" s="539">
        <v>63495.854516666674</v>
      </c>
      <c r="AO15" s="62">
        <f t="shared" si="4"/>
        <v>27068.73920927228</v>
      </c>
      <c r="AP15" s="80">
        <v>4374</v>
      </c>
      <c r="AQ15" s="80">
        <f t="shared" si="11"/>
        <v>31442.73920927228</v>
      </c>
      <c r="AR15" s="542"/>
      <c r="AS15" s="325"/>
    </row>
    <row r="16" spans="1:45" x14ac:dyDescent="0.25">
      <c r="A16" s="50">
        <v>15</v>
      </c>
      <c r="B16" s="50" t="s">
        <v>253</v>
      </c>
      <c r="C16" s="51" t="s">
        <v>467</v>
      </c>
      <c r="D16" s="52" t="s">
        <v>468</v>
      </c>
      <c r="E16" s="52" t="s">
        <v>469</v>
      </c>
      <c r="F16" s="59"/>
      <c r="G16" s="59">
        <v>3566.4</v>
      </c>
      <c r="H16" s="53"/>
      <c r="I16" s="78"/>
      <c r="J16" s="75"/>
      <c r="K16" s="75"/>
      <c r="L16" s="75"/>
      <c r="M16" s="76"/>
      <c r="N16" s="535">
        <f t="shared" si="0"/>
        <v>78.466092558322131</v>
      </c>
      <c r="O16" s="536">
        <f t="shared" si="1"/>
        <v>45.981288320622106</v>
      </c>
      <c r="P16" s="55" t="s">
        <v>474</v>
      </c>
      <c r="Q16" s="60">
        <v>279841.47250000003</v>
      </c>
      <c r="R16" s="60"/>
      <c r="S16" s="55" t="s">
        <v>23</v>
      </c>
      <c r="T16" s="56">
        <v>23316.437341765755</v>
      </c>
      <c r="U16" s="60">
        <v>279841.47250000003</v>
      </c>
      <c r="V16" s="60">
        <v>0</v>
      </c>
      <c r="W16" s="60">
        <f t="shared" si="5"/>
        <v>279841.47250000003</v>
      </c>
      <c r="X16" s="82">
        <v>1.9212092575094106</v>
      </c>
      <c r="Y16" s="60">
        <v>555857</v>
      </c>
      <c r="Z16" s="60">
        <f t="shared" si="7"/>
        <v>555857</v>
      </c>
      <c r="AA16" s="593">
        <f t="shared" si="2"/>
        <v>41.946826866920368</v>
      </c>
      <c r="AB16" s="60">
        <f t="shared" si="3"/>
        <v>555857</v>
      </c>
      <c r="AC16" s="534">
        <f t="shared" si="8"/>
        <v>23316.437341765755</v>
      </c>
      <c r="AD16" s="534">
        <v>511388.44</v>
      </c>
      <c r="AE16" s="534">
        <v>44468.56</v>
      </c>
      <c r="AF16" s="534">
        <v>0</v>
      </c>
      <c r="AG16" s="537">
        <v>163987.66666666669</v>
      </c>
      <c r="AH16" s="538">
        <v>17449.066711150914</v>
      </c>
      <c r="AI16" s="583">
        <f t="shared" si="9"/>
        <v>0.10640475022197347</v>
      </c>
      <c r="AJ16" s="539">
        <v>0</v>
      </c>
      <c r="AK16" s="539">
        <v>163987.66666666669</v>
      </c>
      <c r="AL16" s="538">
        <f t="shared" si="10"/>
        <v>17449.066711150914</v>
      </c>
      <c r="AM16" s="539">
        <v>0</v>
      </c>
      <c r="AN16" s="539">
        <v>163987.66666666669</v>
      </c>
      <c r="AO16" s="62">
        <f t="shared" si="4"/>
        <v>40765.504052916673</v>
      </c>
      <c r="AP16" s="80">
        <v>13583.2</v>
      </c>
      <c r="AQ16" s="80">
        <f t="shared" si="11"/>
        <v>54348.70405291667</v>
      </c>
      <c r="AR16" s="542"/>
      <c r="AS16" s="325"/>
    </row>
    <row r="17" spans="1:45" x14ac:dyDescent="0.25">
      <c r="A17" s="50">
        <v>16</v>
      </c>
      <c r="B17" s="656" t="s">
        <v>254</v>
      </c>
      <c r="C17" s="51" t="s">
        <v>470</v>
      </c>
      <c r="D17" s="52" t="s">
        <v>471</v>
      </c>
      <c r="E17" s="52" t="s">
        <v>439</v>
      </c>
      <c r="F17" s="59"/>
      <c r="G17" s="59">
        <v>3533</v>
      </c>
      <c r="H17" s="53"/>
      <c r="I17" s="78"/>
      <c r="J17" s="75"/>
      <c r="K17" s="75"/>
      <c r="L17" s="75"/>
      <c r="M17" s="76"/>
      <c r="N17" s="535">
        <f t="shared" si="0"/>
        <v>55.178375318426269</v>
      </c>
      <c r="O17" s="536">
        <f t="shared" si="1"/>
        <v>35.604811774695726</v>
      </c>
      <c r="P17" s="55" t="s">
        <v>474</v>
      </c>
      <c r="Q17" s="60">
        <v>194945.2</v>
      </c>
      <c r="R17" s="60"/>
      <c r="S17" s="55" t="s">
        <v>23</v>
      </c>
      <c r="T17" s="56">
        <v>15578.270000000002</v>
      </c>
      <c r="U17" s="60">
        <v>194945.2</v>
      </c>
      <c r="V17" s="60">
        <v>0</v>
      </c>
      <c r="W17" s="60">
        <f t="shared" si="5"/>
        <v>194945.2</v>
      </c>
      <c r="X17" s="82">
        <v>0.89999999999999991</v>
      </c>
      <c r="Y17" s="60">
        <v>311850</v>
      </c>
      <c r="Z17" s="60">
        <f t="shared" si="7"/>
        <v>311850</v>
      </c>
      <c r="AA17" s="593">
        <f t="shared" si="2"/>
        <v>49.954369087702425</v>
      </c>
      <c r="AB17" s="60">
        <f t="shared" si="3"/>
        <v>311850</v>
      </c>
      <c r="AC17" s="534">
        <f t="shared" si="8"/>
        <v>15578.270000000002</v>
      </c>
      <c r="AD17" s="534">
        <v>296257.5</v>
      </c>
      <c r="AE17" s="534">
        <v>15592.5</v>
      </c>
      <c r="AF17" s="534">
        <v>0</v>
      </c>
      <c r="AG17" s="537">
        <v>125791.79999999999</v>
      </c>
      <c r="AH17" s="538">
        <v>14619.539999999999</v>
      </c>
      <c r="AI17" s="583">
        <f t="shared" si="9"/>
        <v>0.11622013517574278</v>
      </c>
      <c r="AJ17" s="539">
        <v>0</v>
      </c>
      <c r="AK17" s="539">
        <v>125791.79999999999</v>
      </c>
      <c r="AL17" s="538">
        <f t="shared" si="10"/>
        <v>14619.539999999999</v>
      </c>
      <c r="AM17" s="539">
        <v>0</v>
      </c>
      <c r="AN17" s="539">
        <v>125791.79999999999</v>
      </c>
      <c r="AO17" s="62">
        <f t="shared" si="4"/>
        <v>30197.81</v>
      </c>
      <c r="AP17" s="80">
        <v>13566.5</v>
      </c>
      <c r="AQ17" s="80">
        <f t="shared" si="11"/>
        <v>43764.31</v>
      </c>
      <c r="AR17" s="542"/>
      <c r="AS17" s="325"/>
    </row>
    <row r="18" spans="1:45" s="592" customFormat="1" x14ac:dyDescent="0.25">
      <c r="A18" s="655">
        <v>17</v>
      </c>
      <c r="B18" s="656" t="s">
        <v>255</v>
      </c>
      <c r="C18" s="51" t="s">
        <v>472</v>
      </c>
      <c r="D18" s="52" t="s">
        <v>473</v>
      </c>
      <c r="E18" s="52" t="s">
        <v>430</v>
      </c>
      <c r="F18" s="654"/>
      <c r="G18" s="59">
        <v>4975</v>
      </c>
      <c r="H18" s="53"/>
      <c r="I18" s="78"/>
      <c r="J18" s="75"/>
      <c r="K18" s="75"/>
      <c r="L18" s="75"/>
      <c r="M18" s="76"/>
      <c r="N18" s="535">
        <f t="shared" si="0"/>
        <v>58.823115577889446</v>
      </c>
      <c r="O18" s="536">
        <f t="shared" si="1"/>
        <v>44.861641541038523</v>
      </c>
      <c r="P18" s="55" t="s">
        <v>256</v>
      </c>
      <c r="Q18" s="60">
        <v>292645</v>
      </c>
      <c r="R18" s="60"/>
      <c r="S18" s="55" t="s">
        <v>23</v>
      </c>
      <c r="T18" s="56">
        <v>15363.862499999999</v>
      </c>
      <c r="U18" s="60">
        <v>292645</v>
      </c>
      <c r="V18" s="60">
        <v>0</v>
      </c>
      <c r="W18" s="60">
        <f t="shared" si="5"/>
        <v>292645</v>
      </c>
      <c r="X18" s="82">
        <v>0.9</v>
      </c>
      <c r="Y18" s="60">
        <f t="shared" si="6"/>
        <v>263380.5</v>
      </c>
      <c r="Z18" s="60">
        <f t="shared" si="7"/>
        <v>263380.5</v>
      </c>
      <c r="AA18" s="593">
        <f t="shared" si="2"/>
        <v>58.333333333333329</v>
      </c>
      <c r="AB18" s="60">
        <f t="shared" si="3"/>
        <v>263380.5</v>
      </c>
      <c r="AC18" s="534">
        <f t="shared" si="8"/>
        <v>15363.862499999997</v>
      </c>
      <c r="AD18" s="534">
        <v>132217.011</v>
      </c>
      <c r="AE18" s="534">
        <v>39507.074999999997</v>
      </c>
      <c r="AF18" s="534">
        <v>91656.41399999999</v>
      </c>
      <c r="AG18" s="537">
        <v>173186.66666666666</v>
      </c>
      <c r="AH18" s="538">
        <v>18185.385409337861</v>
      </c>
      <c r="AI18" s="583">
        <f t="shared" si="9"/>
        <v>0.10500453504506425</v>
      </c>
      <c r="AJ18" s="539">
        <v>50000</v>
      </c>
      <c r="AK18" s="539">
        <v>223186.66666666666</v>
      </c>
      <c r="AL18" s="538">
        <f t="shared" si="10"/>
        <v>23435.612161591074</v>
      </c>
      <c r="AM18" s="539">
        <v>126088.243625</v>
      </c>
      <c r="AN18" s="539">
        <v>97098.423041666654</v>
      </c>
      <c r="AO18" s="62">
        <f t="shared" si="4"/>
        <v>38799.47466159107</v>
      </c>
      <c r="AP18" s="80">
        <v>12950</v>
      </c>
      <c r="AQ18" s="80">
        <f t="shared" si="11"/>
        <v>51749.47466159107</v>
      </c>
    </row>
    <row r="19" spans="1:45" s="592" customFormat="1" x14ac:dyDescent="0.25">
      <c r="A19" s="591"/>
      <c r="B19" s="591"/>
      <c r="C19" s="591"/>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row>
    <row r="20" spans="1:45" x14ac:dyDescent="0.25">
      <c r="A20" t="s">
        <v>86</v>
      </c>
      <c r="B20" s="81" t="s">
        <v>224</v>
      </c>
      <c r="T20" s="545">
        <f>SUM(T3:T18)-T16</f>
        <v>231911.50543846792</v>
      </c>
      <c r="U20" s="667">
        <f>SUM(U3:U18)-U16</f>
        <v>3295178.6739333337</v>
      </c>
      <c r="V20" s="667">
        <f>SUM(V3:V18)-V16</f>
        <v>147657</v>
      </c>
      <c r="W20" s="667">
        <f>SUM(W3:W18)-W16</f>
        <v>3483225.282879943</v>
      </c>
      <c r="X20" s="57"/>
      <c r="Y20" s="667">
        <f>SUM(Y3:Y18)-Y16</f>
        <v>3062031.2043499998</v>
      </c>
      <c r="Z20" s="667">
        <f>SUM(Z3:Z18)-Z16</f>
        <v>3209688.2043499998</v>
      </c>
      <c r="AB20" s="667">
        <f t="shared" ref="AB20:AH20" si="12">SUM(AB3:AB18)-AB16</f>
        <v>3209688.2043499998</v>
      </c>
      <c r="AC20" s="545">
        <f t="shared" si="12"/>
        <v>246274.18800110076</v>
      </c>
      <c r="AD20" s="667">
        <f t="shared" si="12"/>
        <v>2511661.0187240648</v>
      </c>
      <c r="AE20" s="667">
        <f t="shared" si="12"/>
        <v>396029.11682147742</v>
      </c>
      <c r="AF20" s="667">
        <f t="shared" si="12"/>
        <v>301998.06880445802</v>
      </c>
      <c r="AG20" s="667">
        <f t="shared" si="12"/>
        <v>1153715.0689333333</v>
      </c>
      <c r="AH20" s="545">
        <f t="shared" si="12"/>
        <v>129684.81393580891</v>
      </c>
      <c r="AI20" s="546"/>
      <c r="AJ20" s="667">
        <f t="shared" ref="AJ20:AQ20" si="13">SUM(AJ3:AJ18)-AJ16</f>
        <v>62468.81</v>
      </c>
      <c r="AK20" s="667">
        <f t="shared" si="13"/>
        <v>1216183.8789333333</v>
      </c>
      <c r="AL20" s="545">
        <f t="shared" si="13"/>
        <v>136243.94775034982</v>
      </c>
      <c r="AM20" s="667">
        <f t="shared" si="13"/>
        <v>644929.22037500003</v>
      </c>
      <c r="AN20" s="667">
        <f t="shared" si="13"/>
        <v>571254.65855833329</v>
      </c>
      <c r="AO20" s="545">
        <f t="shared" si="13"/>
        <v>382518.13575145055</v>
      </c>
      <c r="AP20" s="545">
        <f t="shared" si="13"/>
        <v>80390.5</v>
      </c>
      <c r="AQ20" s="545">
        <f t="shared" si="13"/>
        <v>462908.63575145055</v>
      </c>
    </row>
    <row r="21" spans="1:45" ht="15.75" customHeight="1" x14ac:dyDescent="0.25">
      <c r="A21" s="602"/>
      <c r="B21" s="602" t="s">
        <v>364</v>
      </c>
      <c r="C21" s="602"/>
    </row>
    <row r="22" spans="1:45" ht="15.75" customHeight="1" x14ac:dyDescent="0.25">
      <c r="A22" s="602"/>
      <c r="B22" s="603" t="s">
        <v>365</v>
      </c>
      <c r="C22" s="602"/>
    </row>
    <row r="23" spans="1:45" x14ac:dyDescent="0.25">
      <c r="D23" s="393"/>
      <c r="E23" s="393"/>
      <c r="U23" s="143"/>
      <c r="V23" s="143"/>
      <c r="W23" s="143"/>
      <c r="X23" s="143"/>
      <c r="Y23" s="143"/>
      <c r="AH23" s="344"/>
      <c r="AI23" s="344"/>
      <c r="AL23" s="344"/>
      <c r="AM23" s="344"/>
      <c r="AN23" s="344"/>
    </row>
    <row r="24" spans="1:45" x14ac:dyDescent="0.25">
      <c r="D24" s="393"/>
      <c r="E24" s="393"/>
      <c r="U24" s="143"/>
      <c r="V24" s="143"/>
      <c r="W24" s="143"/>
      <c r="X24" s="143"/>
      <c r="Y24" s="143"/>
      <c r="AH24" s="344"/>
      <c r="AI24" s="344"/>
      <c r="AL24" s="344"/>
      <c r="AM24" s="344"/>
      <c r="AN24" s="344"/>
    </row>
    <row r="25" spans="1:45" x14ac:dyDescent="0.25">
      <c r="D25" s="393"/>
      <c r="E25" s="393"/>
      <c r="U25" s="143"/>
      <c r="V25" s="143"/>
      <c r="W25" s="143"/>
      <c r="X25" s="143"/>
      <c r="Y25" s="143"/>
      <c r="AH25" s="344"/>
      <c r="AI25" s="344"/>
      <c r="AL25" s="344"/>
      <c r="AM25" s="344"/>
      <c r="AN25" s="344"/>
    </row>
    <row r="26" spans="1:45" x14ac:dyDescent="0.25">
      <c r="U26" s="143"/>
      <c r="V26" s="143"/>
      <c r="W26" s="143"/>
      <c r="X26" s="144"/>
      <c r="Y26" s="144"/>
    </row>
    <row r="27" spans="1:45" x14ac:dyDescent="0.25">
      <c r="D27" s="393"/>
      <c r="E27" s="393"/>
      <c r="U27" s="143"/>
      <c r="V27" s="143"/>
      <c r="W27" s="143"/>
      <c r="X27" s="144"/>
      <c r="Y27" s="144"/>
    </row>
    <row r="28" spans="1:45" x14ac:dyDescent="0.25">
      <c r="D28" s="393"/>
      <c r="E28" s="393"/>
      <c r="U28" s="143"/>
      <c r="V28" s="143"/>
      <c r="W28" s="143"/>
      <c r="X28" s="144"/>
      <c r="Y28" s="144"/>
      <c r="AI28" s="348"/>
      <c r="AJ28" s="325"/>
    </row>
    <row r="29" spans="1:45" x14ac:dyDescent="0.25">
      <c r="D29" s="393"/>
      <c r="E29" s="393"/>
      <c r="U29" s="143"/>
      <c r="V29" s="143"/>
      <c r="W29" s="143"/>
      <c r="X29" s="143"/>
      <c r="Y29" s="143"/>
      <c r="Z29" s="143"/>
      <c r="AI29" s="348"/>
    </row>
    <row r="30" spans="1:45" x14ac:dyDescent="0.25">
      <c r="U30" s="142"/>
      <c r="V30" s="142"/>
      <c r="W30" s="142"/>
      <c r="X30" s="142"/>
      <c r="Y30" s="142"/>
      <c r="Z30" s="142"/>
      <c r="AI30" s="348"/>
      <c r="AL30" s="344"/>
      <c r="AM30" s="344"/>
      <c r="AN30" s="344"/>
    </row>
    <row r="31" spans="1:45" x14ac:dyDescent="0.25">
      <c r="AI31" s="348"/>
      <c r="AL31" s="325"/>
      <c r="AM31" s="325"/>
      <c r="AN31" s="325"/>
    </row>
    <row r="32" spans="1:45" x14ac:dyDescent="0.25">
      <c r="AI32" s="348"/>
    </row>
    <row r="33" spans="35:40" x14ac:dyDescent="0.25">
      <c r="AI33" s="348"/>
    </row>
    <row r="36" spans="35:40" x14ac:dyDescent="0.25">
      <c r="AL36" s="344"/>
      <c r="AM36" s="344"/>
      <c r="AN36" s="344"/>
    </row>
    <row r="39" spans="35:40" x14ac:dyDescent="0.25">
      <c r="AJ39" s="325"/>
    </row>
    <row r="42" spans="35:40" x14ac:dyDescent="0.25">
      <c r="AL42" s="344"/>
      <c r="AM42" s="344"/>
      <c r="AN42" s="344"/>
    </row>
    <row r="43" spans="35:40" x14ac:dyDescent="0.25">
      <c r="AL43" s="325"/>
      <c r="AM43" s="325"/>
      <c r="AN43" s="325"/>
    </row>
    <row r="52" spans="33:36" x14ac:dyDescent="0.25">
      <c r="AJ52" s="325"/>
    </row>
    <row r="56" spans="33:36" x14ac:dyDescent="0.25">
      <c r="AG56" s="349" t="s">
        <v>221</v>
      </c>
    </row>
  </sheetData>
  <mergeCells count="3">
    <mergeCell ref="A1:L1"/>
    <mergeCell ref="AG1:AN1"/>
    <mergeCell ref="P1:AF1"/>
  </mergeCells>
  <pageMargins left="0.25" right="0.25" top="0.75" bottom="0.75" header="0.3" footer="0.3"/>
  <pageSetup paperSize="9" scale="53"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249977111117893"/>
    <pageSetUpPr fitToPage="1"/>
  </sheetPr>
  <dimension ref="B2:I19"/>
  <sheetViews>
    <sheetView zoomScale="70" zoomScaleNormal="70" workbookViewId="0">
      <selection activeCell="G9" sqref="G9"/>
    </sheetView>
  </sheetViews>
  <sheetFormatPr defaultRowHeight="12.75" x14ac:dyDescent="0.2"/>
  <cols>
    <col min="1" max="1" width="9.140625" style="604"/>
    <col min="2" max="2" width="12.85546875" style="604" customWidth="1"/>
    <col min="3" max="3" width="35.28515625" style="604" customWidth="1"/>
    <col min="4" max="8" width="19.5703125" style="604" customWidth="1"/>
    <col min="9" max="9" width="24.7109375" style="604" customWidth="1"/>
    <col min="10" max="16384" width="9.140625" style="604"/>
  </cols>
  <sheetData>
    <row r="2" spans="2:9" ht="18.75" x14ac:dyDescent="0.3">
      <c r="B2" s="547" t="s">
        <v>366</v>
      </c>
    </row>
    <row r="3" spans="2:9" ht="15.75" thickBot="1" x14ac:dyDescent="0.25">
      <c r="B3" s="605"/>
    </row>
    <row r="4" spans="2:9" ht="39" customHeight="1" thickBot="1" x14ac:dyDescent="0.35">
      <c r="B4" s="606" t="s">
        <v>367</v>
      </c>
      <c r="C4" s="607"/>
      <c r="D4" s="607"/>
      <c r="E4" s="608"/>
      <c r="F4" s="609"/>
      <c r="G4" s="682" t="s">
        <v>368</v>
      </c>
      <c r="H4" s="683"/>
    </row>
    <row r="5" spans="2:9" ht="48" customHeight="1" thickBot="1" x14ac:dyDescent="0.25">
      <c r="B5" s="610" t="s">
        <v>28</v>
      </c>
      <c r="C5" s="611" t="s">
        <v>369</v>
      </c>
      <c r="D5" s="612" t="s">
        <v>370</v>
      </c>
      <c r="E5" s="684" t="s">
        <v>371</v>
      </c>
      <c r="F5" s="685"/>
      <c r="G5" s="686" t="s">
        <v>372</v>
      </c>
      <c r="H5" s="687"/>
    </row>
    <row r="6" spans="2:9" ht="15.75" x14ac:dyDescent="0.25">
      <c r="B6" s="613" t="s">
        <v>96</v>
      </c>
      <c r="C6" s="614" t="s">
        <v>373</v>
      </c>
      <c r="D6" s="615" t="s">
        <v>374</v>
      </c>
      <c r="E6" s="616">
        <v>10.08</v>
      </c>
      <c r="F6" s="617" t="s">
        <v>375</v>
      </c>
      <c r="G6" s="652">
        <v>8.0519999999999994E-2</v>
      </c>
      <c r="H6" s="618" t="s">
        <v>22</v>
      </c>
    </row>
    <row r="7" spans="2:9" ht="15.75" x14ac:dyDescent="0.25">
      <c r="B7" s="619" t="s">
        <v>376</v>
      </c>
      <c r="C7" s="620" t="s">
        <v>377</v>
      </c>
      <c r="D7" s="621" t="s">
        <v>378</v>
      </c>
      <c r="E7" s="622">
        <v>11.5</v>
      </c>
      <c r="F7" s="623" t="s">
        <v>379</v>
      </c>
      <c r="G7" s="653"/>
      <c r="H7" s="624" t="s">
        <v>22</v>
      </c>
    </row>
    <row r="8" spans="2:9" ht="15.75" x14ac:dyDescent="0.25">
      <c r="B8" s="619" t="s">
        <v>256</v>
      </c>
      <c r="C8" s="620" t="s">
        <v>432</v>
      </c>
      <c r="D8" s="621" t="s">
        <v>380</v>
      </c>
      <c r="E8" s="622">
        <v>9.5</v>
      </c>
      <c r="F8" s="623" t="s">
        <v>381</v>
      </c>
      <c r="G8" s="653">
        <v>4.6899240598482536E-2</v>
      </c>
      <c r="H8" s="624" t="s">
        <v>22</v>
      </c>
    </row>
    <row r="9" spans="2:9" ht="31.5" x14ac:dyDescent="0.25">
      <c r="B9" s="619" t="s">
        <v>256</v>
      </c>
      <c r="C9" s="620" t="s">
        <v>433</v>
      </c>
      <c r="D9" s="621" t="s">
        <v>380</v>
      </c>
      <c r="E9" s="622">
        <v>9.5</v>
      </c>
      <c r="F9" s="623" t="s">
        <v>381</v>
      </c>
      <c r="G9" s="653">
        <v>5.2499999999999998E-2</v>
      </c>
      <c r="H9" s="624" t="s">
        <v>22</v>
      </c>
    </row>
    <row r="10" spans="2:9" ht="31.5" x14ac:dyDescent="0.25">
      <c r="B10" s="619" t="s">
        <v>256</v>
      </c>
      <c r="C10" s="620" t="s">
        <v>434</v>
      </c>
      <c r="D10" s="621" t="s">
        <v>380</v>
      </c>
      <c r="E10" s="622">
        <v>9.5</v>
      </c>
      <c r="F10" s="623" t="s">
        <v>381</v>
      </c>
      <c r="G10" s="653">
        <v>4.7249694638397184E-2</v>
      </c>
      <c r="H10" s="624" t="s">
        <v>22</v>
      </c>
    </row>
    <row r="11" spans="2:9" ht="15.75" x14ac:dyDescent="0.25">
      <c r="B11" s="619" t="s">
        <v>256</v>
      </c>
      <c r="C11" s="620" t="s">
        <v>435</v>
      </c>
      <c r="D11" s="621" t="s">
        <v>380</v>
      </c>
      <c r="E11" s="622">
        <v>9.5</v>
      </c>
      <c r="F11" s="623" t="s">
        <v>381</v>
      </c>
      <c r="G11" s="653">
        <v>5.1769561773072632E-2</v>
      </c>
      <c r="H11" s="624" t="s">
        <v>22</v>
      </c>
    </row>
    <row r="12" spans="2:9" ht="15.75" x14ac:dyDescent="0.25">
      <c r="B12" s="619" t="s">
        <v>257</v>
      </c>
      <c r="C12" s="620" t="s">
        <v>382</v>
      </c>
      <c r="D12" s="621" t="s">
        <v>374</v>
      </c>
      <c r="E12" s="622">
        <v>7.17</v>
      </c>
      <c r="F12" s="623" t="s">
        <v>375</v>
      </c>
      <c r="G12" s="653">
        <v>9.2450000000000004E-2</v>
      </c>
      <c r="H12" s="624" t="s">
        <v>22</v>
      </c>
    </row>
    <row r="13" spans="2:9" ht="15.75" x14ac:dyDescent="0.25">
      <c r="B13" s="619" t="s">
        <v>257</v>
      </c>
      <c r="C13" s="620" t="s">
        <v>382</v>
      </c>
      <c r="D13" s="621" t="s">
        <v>258</v>
      </c>
      <c r="E13" s="622">
        <v>31.05</v>
      </c>
      <c r="F13" s="623" t="s">
        <v>383</v>
      </c>
      <c r="G13" s="625"/>
      <c r="H13" s="624" t="s">
        <v>22</v>
      </c>
      <c r="I13" s="626"/>
    </row>
    <row r="14" spans="2:9" ht="15.75" x14ac:dyDescent="0.25">
      <c r="B14" s="619" t="s">
        <v>384</v>
      </c>
      <c r="C14" s="620" t="s">
        <v>385</v>
      </c>
      <c r="D14" s="621" t="s">
        <v>378</v>
      </c>
      <c r="E14" s="622">
        <v>4.9000000000000004</v>
      </c>
      <c r="F14" s="623" t="s">
        <v>379</v>
      </c>
      <c r="G14" s="625"/>
      <c r="H14" s="624" t="s">
        <v>22</v>
      </c>
      <c r="I14" s="626"/>
    </row>
    <row r="15" spans="2:9" ht="15.75" x14ac:dyDescent="0.25">
      <c r="B15" s="619" t="s">
        <v>386</v>
      </c>
      <c r="C15" s="620" t="s">
        <v>387</v>
      </c>
      <c r="D15" s="621" t="s">
        <v>23</v>
      </c>
      <c r="E15" s="622">
        <v>1000</v>
      </c>
      <c r="F15" s="623" t="s">
        <v>388</v>
      </c>
      <c r="G15" s="625"/>
      <c r="H15" s="624" t="s">
        <v>22</v>
      </c>
    </row>
    <row r="16" spans="2:9" ht="16.5" thickBot="1" x14ac:dyDescent="0.3">
      <c r="B16" s="627" t="s">
        <v>389</v>
      </c>
      <c r="C16" s="628" t="s">
        <v>390</v>
      </c>
      <c r="D16" s="629" t="s">
        <v>23</v>
      </c>
      <c r="E16" s="630">
        <v>1</v>
      </c>
      <c r="F16" s="631" t="s">
        <v>388</v>
      </c>
      <c r="G16" s="659">
        <v>0.09</v>
      </c>
      <c r="H16" s="632" t="s">
        <v>22</v>
      </c>
    </row>
    <row r="18" spans="2:9" ht="22.5" x14ac:dyDescent="0.3">
      <c r="B18" s="633"/>
    </row>
    <row r="19" spans="2:9" ht="21" customHeight="1" x14ac:dyDescent="0.2">
      <c r="B19" s="688" t="s">
        <v>391</v>
      </c>
      <c r="C19" s="688"/>
      <c r="D19" s="688"/>
      <c r="E19" s="688"/>
      <c r="F19" s="688"/>
      <c r="G19" s="688"/>
      <c r="H19" s="688"/>
      <c r="I19" s="634"/>
    </row>
  </sheetData>
  <mergeCells count="4">
    <mergeCell ref="G4:H4"/>
    <mergeCell ref="E5:F5"/>
    <mergeCell ref="G5:H5"/>
    <mergeCell ref="B19:H19"/>
  </mergeCells>
  <pageMargins left="0.7" right="0.7" top="0.75" bottom="0.75" header="0.3" footer="0.3"/>
  <pageSetup paperSize="9" scale="4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39"/>
  <sheetViews>
    <sheetView topLeftCell="A23" workbookViewId="0">
      <selection activeCell="A32" sqref="A32:I39"/>
    </sheetView>
  </sheetViews>
  <sheetFormatPr defaultColWidth="9.140625" defaultRowHeight="15" x14ac:dyDescent="0.25"/>
  <cols>
    <col min="1" max="1" width="53.42578125" style="550" customWidth="1"/>
    <col min="2" max="2" width="19.140625" style="549" customWidth="1"/>
    <col min="3" max="8" width="17.140625" style="549" customWidth="1"/>
    <col min="9" max="9" width="36.5703125" style="550" customWidth="1"/>
    <col min="10" max="16384" width="9.140625" style="550"/>
  </cols>
  <sheetData>
    <row r="1" spans="1:9" ht="23.25" x14ac:dyDescent="0.25">
      <c r="A1" s="548" t="s">
        <v>292</v>
      </c>
    </row>
    <row r="3" spans="1:9" x14ac:dyDescent="0.25">
      <c r="A3" s="550" t="s">
        <v>315</v>
      </c>
    </row>
    <row r="5" spans="1:9" ht="92.25" x14ac:dyDescent="0.25">
      <c r="A5" s="551" t="s">
        <v>316</v>
      </c>
      <c r="B5" s="552" t="s">
        <v>293</v>
      </c>
      <c r="C5" s="552" t="s">
        <v>294</v>
      </c>
      <c r="D5" s="552" t="s">
        <v>295</v>
      </c>
      <c r="E5" s="552" t="s">
        <v>296</v>
      </c>
      <c r="F5" s="552" t="s">
        <v>317</v>
      </c>
      <c r="G5" s="552" t="s">
        <v>318</v>
      </c>
      <c r="H5" s="552" t="s">
        <v>297</v>
      </c>
      <c r="I5" s="553" t="s">
        <v>290</v>
      </c>
    </row>
    <row r="6" spans="1:9" x14ac:dyDescent="0.25">
      <c r="A6" s="554" t="s">
        <v>319</v>
      </c>
      <c r="B6" s="555">
        <v>0.5</v>
      </c>
      <c r="C6" s="555">
        <v>21</v>
      </c>
      <c r="D6" s="555" t="s">
        <v>421</v>
      </c>
      <c r="E6" s="555" t="s">
        <v>298</v>
      </c>
      <c r="F6" s="555">
        <v>1667</v>
      </c>
      <c r="G6" s="555">
        <v>10.1</v>
      </c>
      <c r="H6" s="555">
        <v>300</v>
      </c>
      <c r="I6" s="556"/>
    </row>
    <row r="7" spans="1:9" x14ac:dyDescent="0.25">
      <c r="A7" s="557" t="s">
        <v>320</v>
      </c>
      <c r="B7" s="558">
        <v>0.5</v>
      </c>
      <c r="C7" s="558">
        <v>23</v>
      </c>
      <c r="D7" s="558" t="str">
        <f>D6</f>
        <v>± 2</v>
      </c>
      <c r="E7" s="558" t="s">
        <v>298</v>
      </c>
      <c r="F7" s="558">
        <v>1667</v>
      </c>
      <c r="G7" s="558">
        <v>10.1</v>
      </c>
      <c r="H7" s="558">
        <v>300</v>
      </c>
      <c r="I7" s="559" t="s">
        <v>321</v>
      </c>
    </row>
    <row r="8" spans="1:9" x14ac:dyDescent="0.25">
      <c r="A8" s="554" t="s">
        <v>299</v>
      </c>
      <c r="B8" s="555">
        <v>0.5</v>
      </c>
      <c r="C8" s="555">
        <v>20</v>
      </c>
      <c r="D8" s="555" t="str">
        <f t="shared" ref="D8:D20" si="0">D7</f>
        <v>± 2</v>
      </c>
      <c r="E8" s="555" t="s">
        <v>298</v>
      </c>
      <c r="F8" s="555">
        <v>1667</v>
      </c>
      <c r="G8" s="555"/>
      <c r="H8" s="555">
        <v>300</v>
      </c>
      <c r="I8" s="556"/>
    </row>
    <row r="9" spans="1:9" x14ac:dyDescent="0.25">
      <c r="A9" s="557" t="s">
        <v>300</v>
      </c>
      <c r="B9" s="558"/>
      <c r="C9" s="558">
        <v>21</v>
      </c>
      <c r="D9" s="558" t="str">
        <f t="shared" si="0"/>
        <v>± 2</v>
      </c>
      <c r="E9" s="558" t="s">
        <v>298</v>
      </c>
      <c r="F9" s="558">
        <v>1667</v>
      </c>
      <c r="G9" s="558"/>
      <c r="H9" s="558">
        <v>300</v>
      </c>
      <c r="I9" s="559"/>
    </row>
    <row r="10" spans="1:9" x14ac:dyDescent="0.25">
      <c r="A10" s="554" t="s">
        <v>301</v>
      </c>
      <c r="B10" s="555">
        <v>0.5</v>
      </c>
      <c r="C10" s="555">
        <v>21</v>
      </c>
      <c r="D10" s="555" t="str">
        <f t="shared" si="0"/>
        <v>± 2</v>
      </c>
      <c r="E10" s="555" t="s">
        <v>298</v>
      </c>
      <c r="F10" s="555">
        <v>1667</v>
      </c>
      <c r="G10" s="555">
        <v>8.6</v>
      </c>
      <c r="H10" s="555">
        <v>300</v>
      </c>
      <c r="I10" s="556"/>
    </row>
    <row r="11" spans="1:9" x14ac:dyDescent="0.25">
      <c r="A11" s="557" t="s">
        <v>429</v>
      </c>
      <c r="B11" s="558">
        <v>0.5</v>
      </c>
      <c r="C11" s="558">
        <v>19</v>
      </c>
      <c r="D11" s="558" t="str">
        <f t="shared" si="0"/>
        <v>± 2</v>
      </c>
      <c r="E11" s="558" t="s">
        <v>298</v>
      </c>
      <c r="F11" s="558">
        <v>1667</v>
      </c>
      <c r="G11" s="558"/>
      <c r="H11" s="558">
        <v>300</v>
      </c>
      <c r="I11" s="559"/>
    </row>
    <row r="12" spans="1:9" ht="45" x14ac:dyDescent="0.25">
      <c r="A12" s="660" t="s">
        <v>430</v>
      </c>
      <c r="B12" s="661">
        <v>0.5</v>
      </c>
      <c r="C12" s="661">
        <v>19</v>
      </c>
      <c r="D12" s="661" t="str">
        <f t="shared" si="0"/>
        <v>± 2</v>
      </c>
      <c r="E12" s="661" t="s">
        <v>298</v>
      </c>
      <c r="F12" s="661">
        <v>1667</v>
      </c>
      <c r="G12" s="661"/>
      <c r="H12" s="661">
        <v>300</v>
      </c>
      <c r="I12" s="662" t="s">
        <v>431</v>
      </c>
    </row>
    <row r="13" spans="1:9" x14ac:dyDescent="0.25">
      <c r="A13" s="557" t="s">
        <v>302</v>
      </c>
      <c r="B13" s="558">
        <v>1</v>
      </c>
      <c r="C13" s="558">
        <v>21</v>
      </c>
      <c r="D13" s="558" t="str">
        <f>D11</f>
        <v>± 2</v>
      </c>
      <c r="E13" s="558" t="s">
        <v>298</v>
      </c>
      <c r="F13" s="558">
        <v>1667</v>
      </c>
      <c r="G13" s="558"/>
      <c r="H13" s="558">
        <v>300</v>
      </c>
      <c r="I13" s="559"/>
    </row>
    <row r="14" spans="1:9" x14ac:dyDescent="0.25">
      <c r="A14" s="660" t="s">
        <v>303</v>
      </c>
      <c r="B14" s="661">
        <v>0.5</v>
      </c>
      <c r="C14" s="661">
        <v>24</v>
      </c>
      <c r="D14" s="661" t="str">
        <f t="shared" si="0"/>
        <v>± 2</v>
      </c>
      <c r="E14" s="661" t="s">
        <v>298</v>
      </c>
      <c r="F14" s="661">
        <v>1667</v>
      </c>
      <c r="G14" s="661"/>
      <c r="H14" s="661">
        <v>200</v>
      </c>
      <c r="I14" s="662"/>
    </row>
    <row r="15" spans="1:9" x14ac:dyDescent="0.25">
      <c r="A15" s="557" t="s">
        <v>304</v>
      </c>
      <c r="B15" s="558"/>
      <c r="C15" s="558">
        <v>20</v>
      </c>
      <c r="D15" s="558" t="str">
        <f t="shared" si="0"/>
        <v>± 2</v>
      </c>
      <c r="E15" s="558" t="s">
        <v>298</v>
      </c>
      <c r="F15" s="558">
        <v>1667</v>
      </c>
      <c r="G15" s="558"/>
      <c r="H15" s="558">
        <v>200</v>
      </c>
      <c r="I15" s="559"/>
    </row>
    <row r="16" spans="1:9" x14ac:dyDescent="0.25">
      <c r="A16" s="660" t="s">
        <v>305</v>
      </c>
      <c r="B16" s="661">
        <v>0.1</v>
      </c>
      <c r="C16" s="661">
        <v>21</v>
      </c>
      <c r="D16" s="661" t="str">
        <f t="shared" si="0"/>
        <v>± 2</v>
      </c>
      <c r="E16" s="661" t="s">
        <v>298</v>
      </c>
      <c r="F16" s="661">
        <v>1667</v>
      </c>
      <c r="G16" s="661">
        <v>2.5</v>
      </c>
      <c r="H16" s="661">
        <v>500</v>
      </c>
      <c r="I16" s="662"/>
    </row>
    <row r="17" spans="1:9" x14ac:dyDescent="0.25">
      <c r="A17" s="557" t="s">
        <v>306</v>
      </c>
      <c r="B17" s="558">
        <v>1</v>
      </c>
      <c r="C17" s="558">
        <v>21</v>
      </c>
      <c r="D17" s="558" t="str">
        <f t="shared" si="0"/>
        <v>± 2</v>
      </c>
      <c r="E17" s="558" t="s">
        <v>298</v>
      </c>
      <c r="F17" s="558">
        <v>1667</v>
      </c>
      <c r="G17" s="558"/>
      <c r="H17" s="558">
        <v>200</v>
      </c>
      <c r="I17" s="559"/>
    </row>
    <row r="18" spans="1:9" x14ac:dyDescent="0.25">
      <c r="A18" s="660" t="s">
        <v>307</v>
      </c>
      <c r="B18" s="661">
        <v>0.5</v>
      </c>
      <c r="C18" s="661" t="s">
        <v>308</v>
      </c>
      <c r="D18" s="661" t="str">
        <f t="shared" si="0"/>
        <v>± 2</v>
      </c>
      <c r="E18" s="661" t="s">
        <v>309</v>
      </c>
      <c r="F18" s="661">
        <v>1667</v>
      </c>
      <c r="G18" s="661"/>
      <c r="H18" s="661">
        <v>300</v>
      </c>
      <c r="I18" s="663" t="s">
        <v>310</v>
      </c>
    </row>
    <row r="19" spans="1:9" x14ac:dyDescent="0.25">
      <c r="A19" s="557" t="s">
        <v>322</v>
      </c>
      <c r="B19" s="558">
        <v>0.1</v>
      </c>
      <c r="C19" s="558">
        <v>21</v>
      </c>
      <c r="D19" s="558" t="str">
        <f t="shared" si="0"/>
        <v>± 2</v>
      </c>
      <c r="E19" s="558" t="s">
        <v>298</v>
      </c>
      <c r="F19" s="558">
        <v>1667</v>
      </c>
      <c r="G19" s="558"/>
      <c r="H19" s="558">
        <v>500</v>
      </c>
      <c r="I19" s="560"/>
    </row>
    <row r="20" spans="1:9" x14ac:dyDescent="0.25">
      <c r="A20" s="664" t="s">
        <v>311</v>
      </c>
      <c r="B20" s="665">
        <v>0.1</v>
      </c>
      <c r="C20" s="665">
        <v>18</v>
      </c>
      <c r="D20" s="661" t="str">
        <f t="shared" si="0"/>
        <v>± 2</v>
      </c>
      <c r="E20" s="665" t="s">
        <v>298</v>
      </c>
      <c r="F20" s="665">
        <v>1667</v>
      </c>
      <c r="G20" s="665"/>
      <c r="H20" s="665">
        <v>150</v>
      </c>
      <c r="I20" s="666"/>
    </row>
    <row r="22" spans="1:9" x14ac:dyDescent="0.25">
      <c r="A22" s="550" t="s">
        <v>312</v>
      </c>
    </row>
    <row r="23" spans="1:9" ht="45" x14ac:dyDescent="0.25">
      <c r="A23" s="551" t="s">
        <v>313</v>
      </c>
      <c r="B23" s="553" t="s">
        <v>291</v>
      </c>
    </row>
    <row r="24" spans="1:9" ht="38.25" customHeight="1" x14ac:dyDescent="0.25">
      <c r="A24" s="561" t="s">
        <v>314</v>
      </c>
      <c r="B24" s="562">
        <v>50</v>
      </c>
      <c r="D24" s="549" t="s">
        <v>323</v>
      </c>
    </row>
    <row r="26" spans="1:9" x14ac:dyDescent="0.25">
      <c r="A26" s="550" t="s">
        <v>324</v>
      </c>
    </row>
    <row r="27" spans="1:9" x14ac:dyDescent="0.25">
      <c r="A27" s="550" t="s">
        <v>325</v>
      </c>
    </row>
    <row r="28" spans="1:9" x14ac:dyDescent="0.25">
      <c r="A28" s="550" t="s">
        <v>326</v>
      </c>
    </row>
    <row r="29" spans="1:9" x14ac:dyDescent="0.25">
      <c r="A29" s="563" t="s">
        <v>352</v>
      </c>
    </row>
    <row r="31" spans="1:9" x14ac:dyDescent="0.25">
      <c r="A31" s="563" t="s">
        <v>327</v>
      </c>
    </row>
    <row r="32" spans="1:9" ht="47.25" customHeight="1" x14ac:dyDescent="0.25">
      <c r="A32" s="689" t="s">
        <v>436</v>
      </c>
      <c r="B32" s="689"/>
      <c r="C32" s="689"/>
      <c r="D32" s="689"/>
      <c r="E32" s="689"/>
      <c r="F32" s="689"/>
      <c r="G32" s="689"/>
      <c r="H32" s="689"/>
      <c r="I32" s="689"/>
    </row>
    <row r="33" spans="1:9" x14ac:dyDescent="0.25">
      <c r="A33" s="564" t="s">
        <v>328</v>
      </c>
      <c r="B33" s="565"/>
      <c r="C33" s="565"/>
      <c r="D33" s="565"/>
      <c r="E33" s="565"/>
      <c r="F33" s="565"/>
      <c r="G33" s="565"/>
      <c r="H33" s="565"/>
      <c r="I33" s="564"/>
    </row>
    <row r="34" spans="1:9" ht="39" customHeight="1" x14ac:dyDescent="0.25">
      <c r="A34" s="689" t="s">
        <v>329</v>
      </c>
      <c r="B34" s="689"/>
      <c r="C34" s="689"/>
      <c r="D34" s="689"/>
      <c r="E34" s="689"/>
      <c r="F34" s="689"/>
      <c r="G34" s="689"/>
      <c r="H34" s="689"/>
      <c r="I34" s="689"/>
    </row>
    <row r="35" spans="1:9" x14ac:dyDescent="0.25">
      <c r="A35" s="564" t="s">
        <v>428</v>
      </c>
      <c r="B35" s="565"/>
      <c r="C35" s="565"/>
      <c r="D35" s="565"/>
      <c r="E35" s="565"/>
      <c r="F35" s="565"/>
      <c r="G35" s="565"/>
      <c r="H35" s="565"/>
      <c r="I35" s="564"/>
    </row>
    <row r="36" spans="1:9" ht="30.75" customHeight="1" x14ac:dyDescent="0.25">
      <c r="A36" s="689" t="s">
        <v>330</v>
      </c>
      <c r="B36" s="689"/>
      <c r="C36" s="689"/>
      <c r="D36" s="689"/>
      <c r="E36" s="689"/>
      <c r="F36" s="689"/>
      <c r="G36" s="689"/>
      <c r="H36" s="689"/>
      <c r="I36" s="689"/>
    </row>
    <row r="37" spans="1:9" ht="33" customHeight="1" x14ac:dyDescent="0.25">
      <c r="A37" s="689" t="s">
        <v>331</v>
      </c>
      <c r="B37" s="689"/>
      <c r="C37" s="689"/>
      <c r="D37" s="689"/>
      <c r="E37" s="689"/>
      <c r="F37" s="689"/>
      <c r="G37" s="689"/>
      <c r="H37" s="689"/>
      <c r="I37" s="689"/>
    </row>
    <row r="38" spans="1:9" ht="30" customHeight="1" x14ac:dyDescent="0.25">
      <c r="A38" s="689" t="s">
        <v>332</v>
      </c>
      <c r="B38" s="689"/>
      <c r="C38" s="689"/>
      <c r="D38" s="689"/>
      <c r="E38" s="689"/>
      <c r="F38" s="689"/>
      <c r="G38" s="689"/>
      <c r="H38" s="689"/>
      <c r="I38" s="689"/>
    </row>
    <row r="39" spans="1:9" x14ac:dyDescent="0.25">
      <c r="A39" s="690" t="s">
        <v>418</v>
      </c>
      <c r="B39" s="690"/>
      <c r="C39" s="690"/>
      <c r="D39" s="690"/>
      <c r="E39" s="690"/>
      <c r="F39" s="690"/>
      <c r="G39" s="690"/>
      <c r="H39" s="690"/>
      <c r="I39" s="690"/>
    </row>
  </sheetData>
  <mergeCells count="6">
    <mergeCell ref="A39:I39"/>
    <mergeCell ref="A32:I32"/>
    <mergeCell ref="A34:I34"/>
    <mergeCell ref="A36:I36"/>
    <mergeCell ref="A37:I37"/>
    <mergeCell ref="A38:I38"/>
  </mergeCells>
  <pageMargins left="0.23622047244094491" right="0.23622047244094491" top="0.74803149606299213" bottom="0.74803149606299213" header="0.31496062992125984" footer="0.31496062992125984"/>
  <pageSetup paperSize="8" scale="9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S43"/>
  <sheetViews>
    <sheetView view="pageBreakPreview" zoomScaleNormal="100" zoomScaleSheetLayoutView="100" workbookViewId="0">
      <selection activeCell="B39" sqref="B39"/>
    </sheetView>
  </sheetViews>
  <sheetFormatPr defaultRowHeight="15" x14ac:dyDescent="0.25"/>
  <cols>
    <col min="1" max="1" width="8.140625" style="636" customWidth="1"/>
    <col min="2" max="2" width="86" style="636" customWidth="1"/>
    <col min="3" max="19" width="9.140625" style="636"/>
  </cols>
  <sheetData>
    <row r="1" spans="1:2" ht="36" customHeight="1" x14ac:dyDescent="0.25">
      <c r="A1" s="640" t="s">
        <v>392</v>
      </c>
      <c r="B1" s="640" t="s">
        <v>393</v>
      </c>
    </row>
    <row r="3" spans="1:2" x14ac:dyDescent="0.25">
      <c r="B3" s="641" t="s">
        <v>274</v>
      </c>
    </row>
    <row r="4" spans="1:2" x14ac:dyDescent="0.25">
      <c r="B4" s="641" t="s">
        <v>394</v>
      </c>
    </row>
    <row r="5" spans="1:2" x14ac:dyDescent="0.25">
      <c r="B5" s="641" t="s">
        <v>395</v>
      </c>
    </row>
    <row r="6" spans="1:2" ht="30" x14ac:dyDescent="0.25">
      <c r="B6" s="641" t="s">
        <v>396</v>
      </c>
    </row>
    <row r="7" spans="1:2" x14ac:dyDescent="0.25">
      <c r="B7" s="641" t="s">
        <v>397</v>
      </c>
    </row>
    <row r="8" spans="1:2" ht="30" x14ac:dyDescent="0.25">
      <c r="B8" s="641" t="s">
        <v>398</v>
      </c>
    </row>
    <row r="9" spans="1:2" x14ac:dyDescent="0.25">
      <c r="B9" s="641" t="s">
        <v>399</v>
      </c>
    </row>
    <row r="10" spans="1:2" x14ac:dyDescent="0.25">
      <c r="B10" s="564"/>
    </row>
    <row r="11" spans="1:2" ht="45" x14ac:dyDescent="0.25">
      <c r="B11" s="641" t="s">
        <v>400</v>
      </c>
    </row>
    <row r="12" spans="1:2" x14ac:dyDescent="0.25">
      <c r="B12" s="641"/>
    </row>
    <row r="13" spans="1:2" ht="45" x14ac:dyDescent="0.25">
      <c r="B13" s="641" t="s">
        <v>275</v>
      </c>
    </row>
    <row r="14" spans="1:2" x14ac:dyDescent="0.25">
      <c r="B14" s="641"/>
    </row>
    <row r="15" spans="1:2" ht="45" x14ac:dyDescent="0.25">
      <c r="B15" s="641" t="s">
        <v>401</v>
      </c>
    </row>
    <row r="16" spans="1:2" x14ac:dyDescent="0.25">
      <c r="B16" s="641"/>
    </row>
    <row r="17" spans="2:2" ht="30" x14ac:dyDescent="0.25">
      <c r="B17" s="641" t="s">
        <v>402</v>
      </c>
    </row>
    <row r="18" spans="2:2" x14ac:dyDescent="0.25">
      <c r="B18" s="641"/>
    </row>
    <row r="19" spans="2:2" x14ac:dyDescent="0.25">
      <c r="B19" s="641" t="s">
        <v>276</v>
      </c>
    </row>
    <row r="20" spans="2:2" x14ac:dyDescent="0.25">
      <c r="B20" s="641" t="s">
        <v>277</v>
      </c>
    </row>
    <row r="21" spans="2:2" x14ac:dyDescent="0.25">
      <c r="B21" s="641"/>
    </row>
    <row r="22" spans="2:2" x14ac:dyDescent="0.25">
      <c r="B22" s="641" t="s">
        <v>278</v>
      </c>
    </row>
    <row r="23" spans="2:2" x14ac:dyDescent="0.25">
      <c r="B23" s="641" t="s">
        <v>279</v>
      </c>
    </row>
    <row r="24" spans="2:2" x14ac:dyDescent="0.25">
      <c r="B24" s="641" t="s">
        <v>280</v>
      </c>
    </row>
    <row r="25" spans="2:2" x14ac:dyDescent="0.25">
      <c r="B25" s="641" t="s">
        <v>281</v>
      </c>
    </row>
    <row r="26" spans="2:2" x14ac:dyDescent="0.25">
      <c r="B26" s="641"/>
    </row>
    <row r="27" spans="2:2" x14ac:dyDescent="0.25">
      <c r="B27" s="641" t="s">
        <v>282</v>
      </c>
    </row>
    <row r="28" spans="2:2" x14ac:dyDescent="0.25">
      <c r="B28" s="641" t="s">
        <v>283</v>
      </c>
    </row>
    <row r="29" spans="2:2" x14ac:dyDescent="0.25">
      <c r="B29" s="641" t="s">
        <v>284</v>
      </c>
    </row>
    <row r="30" spans="2:2" x14ac:dyDescent="0.25">
      <c r="B30" s="641" t="s">
        <v>285</v>
      </c>
    </row>
    <row r="31" spans="2:2" x14ac:dyDescent="0.25">
      <c r="B31" s="641" t="s">
        <v>286</v>
      </c>
    </row>
    <row r="32" spans="2:2" x14ac:dyDescent="0.25">
      <c r="B32" s="641"/>
    </row>
    <row r="33" spans="2:2" x14ac:dyDescent="0.25">
      <c r="B33" s="641" t="s">
        <v>287</v>
      </c>
    </row>
    <row r="34" spans="2:2" x14ac:dyDescent="0.25">
      <c r="B34" s="641" t="s">
        <v>288</v>
      </c>
    </row>
    <row r="35" spans="2:2" x14ac:dyDescent="0.25">
      <c r="B35" s="641" t="s">
        <v>289</v>
      </c>
    </row>
    <row r="36" spans="2:2" x14ac:dyDescent="0.25">
      <c r="B36" s="641"/>
    </row>
    <row r="37" spans="2:2" ht="30" x14ac:dyDescent="0.25">
      <c r="B37" s="641" t="s">
        <v>403</v>
      </c>
    </row>
    <row r="38" spans="2:2" x14ac:dyDescent="0.25">
      <c r="B38" s="641"/>
    </row>
    <row r="39" spans="2:2" ht="45" x14ac:dyDescent="0.25">
      <c r="B39" s="641" t="s">
        <v>404</v>
      </c>
    </row>
    <row r="40" spans="2:2" x14ac:dyDescent="0.25">
      <c r="B40" s="641"/>
    </row>
    <row r="41" spans="2:2" ht="60" x14ac:dyDescent="0.25">
      <c r="B41" s="641" t="s">
        <v>405</v>
      </c>
    </row>
    <row r="42" spans="2:2" x14ac:dyDescent="0.25">
      <c r="B42" s="641"/>
    </row>
    <row r="43" spans="2:2" ht="45" x14ac:dyDescent="0.25">
      <c r="B43" s="641" t="s">
        <v>406</v>
      </c>
    </row>
  </sheetData>
  <pageMargins left="0.7" right="0.7" top="0.61" bottom="0.39"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B29"/>
  <sheetViews>
    <sheetView workbookViewId="0">
      <selection activeCell="B17" sqref="B17"/>
    </sheetView>
  </sheetViews>
  <sheetFormatPr defaultColWidth="9.140625" defaultRowHeight="15" x14ac:dyDescent="0.25"/>
  <cols>
    <col min="1" max="1" width="3.42578125" style="644" customWidth="1"/>
    <col min="2" max="2" width="82.42578125" style="644" customWidth="1"/>
    <col min="3" max="16384" width="9.140625" style="644"/>
  </cols>
  <sheetData>
    <row r="1" spans="1:2" ht="36.75" x14ac:dyDescent="0.25">
      <c r="A1" s="642" t="s">
        <v>407</v>
      </c>
      <c r="B1" s="643" t="s">
        <v>408</v>
      </c>
    </row>
    <row r="2" spans="1:2" x14ac:dyDescent="0.25">
      <c r="B2" s="645"/>
    </row>
    <row r="3" spans="1:2" x14ac:dyDescent="0.25">
      <c r="B3" s="646" t="s">
        <v>1</v>
      </c>
    </row>
    <row r="4" spans="1:2" x14ac:dyDescent="0.25">
      <c r="B4" s="645"/>
    </row>
    <row r="5" spans="1:2" ht="90" x14ac:dyDescent="0.25">
      <c r="B5" s="647" t="s">
        <v>414</v>
      </c>
    </row>
    <row r="6" spans="1:2" x14ac:dyDescent="0.25">
      <c r="B6" s="648"/>
    </row>
    <row r="7" spans="1:2" ht="30" x14ac:dyDescent="0.25">
      <c r="B7" s="649" t="s">
        <v>112</v>
      </c>
    </row>
    <row r="8" spans="1:2" x14ac:dyDescent="0.25">
      <c r="B8" s="649"/>
    </row>
    <row r="9" spans="1:2" ht="60" x14ac:dyDescent="0.25">
      <c r="B9" s="649" t="s">
        <v>113</v>
      </c>
    </row>
    <row r="10" spans="1:2" x14ac:dyDescent="0.25">
      <c r="B10" s="649"/>
    </row>
    <row r="11" spans="1:2" ht="60" x14ac:dyDescent="0.25">
      <c r="B11" s="649" t="s">
        <v>409</v>
      </c>
    </row>
    <row r="12" spans="1:2" x14ac:dyDescent="0.25">
      <c r="B12" s="649"/>
    </row>
    <row r="13" spans="1:2" ht="90" x14ac:dyDescent="0.25">
      <c r="B13" s="649" t="s">
        <v>410</v>
      </c>
    </row>
    <row r="14" spans="1:2" x14ac:dyDescent="0.25">
      <c r="B14" s="649"/>
    </row>
    <row r="15" spans="1:2" ht="60" x14ac:dyDescent="0.25">
      <c r="B15" s="649" t="s">
        <v>411</v>
      </c>
    </row>
    <row r="16" spans="1:2" x14ac:dyDescent="0.25">
      <c r="B16" s="649"/>
    </row>
    <row r="17" spans="2:2" ht="60" x14ac:dyDescent="0.25">
      <c r="B17" s="649" t="s">
        <v>412</v>
      </c>
    </row>
    <row r="18" spans="2:2" x14ac:dyDescent="0.25">
      <c r="B18" s="649"/>
    </row>
    <row r="19" spans="2:2" ht="45" x14ac:dyDescent="0.25">
      <c r="B19" s="649" t="s">
        <v>413</v>
      </c>
    </row>
    <row r="20" spans="2:2" x14ac:dyDescent="0.25">
      <c r="B20" s="649"/>
    </row>
    <row r="21" spans="2:2" ht="30" x14ac:dyDescent="0.25">
      <c r="B21" s="649" t="s">
        <v>415</v>
      </c>
    </row>
    <row r="22" spans="2:2" x14ac:dyDescent="0.25">
      <c r="B22" s="650"/>
    </row>
    <row r="23" spans="2:2" x14ac:dyDescent="0.25">
      <c r="B23" s="649"/>
    </row>
    <row r="24" spans="2:2" x14ac:dyDescent="0.25">
      <c r="B24" s="649"/>
    </row>
    <row r="25" spans="2:2" x14ac:dyDescent="0.25">
      <c r="B25" s="649"/>
    </row>
    <row r="26" spans="2:2" x14ac:dyDescent="0.25">
      <c r="B26" s="649"/>
    </row>
    <row r="27" spans="2:2" x14ac:dyDescent="0.25">
      <c r="B27" s="649"/>
    </row>
    <row r="28" spans="2:2" x14ac:dyDescent="0.25">
      <c r="B28" s="649"/>
    </row>
    <row r="29" spans="2:2" x14ac:dyDescent="0.25">
      <c r="B29" s="64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2:A88"/>
  <sheetViews>
    <sheetView view="pageBreakPreview" topLeftCell="A4" zoomScaleNormal="100" zoomScaleSheetLayoutView="100" workbookViewId="0">
      <selection activeCell="A5" sqref="A5"/>
    </sheetView>
  </sheetViews>
  <sheetFormatPr defaultColWidth="9.140625" defaultRowHeight="15" x14ac:dyDescent="0.25"/>
  <cols>
    <col min="1" max="1" width="88.42578125" style="74" customWidth="1"/>
    <col min="2" max="16384" width="9.140625" style="1"/>
  </cols>
  <sheetData>
    <row r="2" spans="1:1" ht="18" x14ac:dyDescent="0.25">
      <c r="A2" s="58" t="s">
        <v>121</v>
      </c>
    </row>
    <row r="3" spans="1:1" x14ac:dyDescent="0.25">
      <c r="A3" s="2"/>
    </row>
    <row r="4" spans="1:1" x14ac:dyDescent="0.25">
      <c r="A4" s="2"/>
    </row>
    <row r="5" spans="1:1" x14ac:dyDescent="0.25">
      <c r="A5" s="3" t="s">
        <v>354</v>
      </c>
    </row>
    <row r="6" spans="1:1" x14ac:dyDescent="0.25">
      <c r="A6" s="3"/>
    </row>
    <row r="7" spans="1:1" x14ac:dyDescent="0.25">
      <c r="A7" s="396"/>
    </row>
    <row r="8" spans="1:1" x14ac:dyDescent="0.25">
      <c r="A8" s="396"/>
    </row>
    <row r="9" spans="1:1" x14ac:dyDescent="0.25">
      <c r="A9" s="396"/>
    </row>
    <row r="10" spans="1:1" x14ac:dyDescent="0.25">
      <c r="A10" s="396"/>
    </row>
    <row r="11" spans="1:1" x14ac:dyDescent="0.25">
      <c r="A11" s="396"/>
    </row>
    <row r="12" spans="1:1" x14ac:dyDescent="0.25">
      <c r="A12" s="396"/>
    </row>
    <row r="13" spans="1:1" x14ac:dyDescent="0.25">
      <c r="A13" s="396"/>
    </row>
    <row r="14" spans="1:1" x14ac:dyDescent="0.25">
      <c r="A14" s="396"/>
    </row>
    <row r="15" spans="1:1" x14ac:dyDescent="0.25">
      <c r="A15" s="396"/>
    </row>
    <row r="16" spans="1:1" x14ac:dyDescent="0.25">
      <c r="A16" s="396"/>
    </row>
    <row r="17" spans="1:1" x14ac:dyDescent="0.25">
      <c r="A17" s="396"/>
    </row>
    <row r="18" spans="1:1" x14ac:dyDescent="0.25">
      <c r="A18" s="79"/>
    </row>
    <row r="19" spans="1:1" x14ac:dyDescent="0.25">
      <c r="A19" s="83"/>
    </row>
    <row r="20" spans="1:1" x14ac:dyDescent="0.25">
      <c r="A20" s="79"/>
    </row>
    <row r="21" spans="1:1" x14ac:dyDescent="0.25">
      <c r="A21" s="79"/>
    </row>
    <row r="22" spans="1:1" x14ac:dyDescent="0.25">
      <c r="A22" s="3"/>
    </row>
    <row r="23" spans="1:1" x14ac:dyDescent="0.25">
      <c r="A23" s="3"/>
    </row>
    <row r="24" spans="1:1" x14ac:dyDescent="0.25">
      <c r="A24" s="396"/>
    </row>
    <row r="25" spans="1:1" x14ac:dyDescent="0.25">
      <c r="A25" s="396"/>
    </row>
    <row r="26" spans="1:1" x14ac:dyDescent="0.25">
      <c r="A26" s="396"/>
    </row>
    <row r="27" spans="1:1" x14ac:dyDescent="0.25">
      <c r="A27" s="396"/>
    </row>
    <row r="28" spans="1:1" x14ac:dyDescent="0.25">
      <c r="A28" s="396"/>
    </row>
    <row r="29" spans="1:1" x14ac:dyDescent="0.25">
      <c r="A29" s="396"/>
    </row>
    <row r="30" spans="1:1" x14ac:dyDescent="0.25">
      <c r="A30" s="396"/>
    </row>
    <row r="31" spans="1:1" x14ac:dyDescent="0.25">
      <c r="A31" s="396"/>
    </row>
    <row r="32" spans="1:1" x14ac:dyDescent="0.25">
      <c r="A32" s="396"/>
    </row>
    <row r="33" spans="1:1" x14ac:dyDescent="0.25">
      <c r="A33" s="396"/>
    </row>
    <row r="34" spans="1:1" x14ac:dyDescent="0.25">
      <c r="A34" s="79"/>
    </row>
    <row r="35" spans="1:1" x14ac:dyDescent="0.25">
      <c r="A35" s="83"/>
    </row>
    <row r="36" spans="1:1" x14ac:dyDescent="0.25">
      <c r="A36" s="79"/>
    </row>
    <row r="37" spans="1:1" x14ac:dyDescent="0.25">
      <c r="A37" s="79"/>
    </row>
    <row r="38" spans="1:1" x14ac:dyDescent="0.25">
      <c r="A38" s="3"/>
    </row>
    <row r="39" spans="1:1" x14ac:dyDescent="0.25">
      <c r="A39" s="3"/>
    </row>
    <row r="40" spans="1:1" x14ac:dyDescent="0.25">
      <c r="A40" s="396"/>
    </row>
    <row r="41" spans="1:1" x14ac:dyDescent="0.25">
      <c r="A41" s="396"/>
    </row>
    <row r="42" spans="1:1" x14ac:dyDescent="0.25">
      <c r="A42" s="396"/>
    </row>
    <row r="43" spans="1:1" x14ac:dyDescent="0.25">
      <c r="A43" s="396"/>
    </row>
    <row r="44" spans="1:1" x14ac:dyDescent="0.25">
      <c r="A44" s="396"/>
    </row>
    <row r="45" spans="1:1" x14ac:dyDescent="0.25">
      <c r="A45" s="396"/>
    </row>
    <row r="46" spans="1:1" x14ac:dyDescent="0.25">
      <c r="A46" s="396"/>
    </row>
    <row r="47" spans="1:1" x14ac:dyDescent="0.25">
      <c r="A47" s="396"/>
    </row>
    <row r="48" spans="1:1" x14ac:dyDescent="0.25">
      <c r="A48" s="396"/>
    </row>
    <row r="49" spans="1:1" x14ac:dyDescent="0.25">
      <c r="A49" s="396"/>
    </row>
    <row r="50" spans="1:1" x14ac:dyDescent="0.25">
      <c r="A50" s="396"/>
    </row>
    <row r="51" spans="1:1" x14ac:dyDescent="0.25">
      <c r="A51" s="396"/>
    </row>
    <row r="52" spans="1:1" x14ac:dyDescent="0.25">
      <c r="A52" s="79"/>
    </row>
    <row r="53" spans="1:1" x14ac:dyDescent="0.25">
      <c r="A53" s="83"/>
    </row>
    <row r="54" spans="1:1" x14ac:dyDescent="0.25">
      <c r="A54" s="79"/>
    </row>
    <row r="55" spans="1:1" x14ac:dyDescent="0.25">
      <c r="A55" s="79"/>
    </row>
    <row r="56" spans="1:1" x14ac:dyDescent="0.25">
      <c r="A56" s="79"/>
    </row>
    <row r="57" spans="1:1" x14ac:dyDescent="0.25">
      <c r="A57" s="77"/>
    </row>
    <row r="58" spans="1:1" x14ac:dyDescent="0.25">
      <c r="A58" s="72"/>
    </row>
    <row r="59" spans="1:1" x14ac:dyDescent="0.25">
      <c r="A59" s="72"/>
    </row>
    <row r="60" spans="1:1" x14ac:dyDescent="0.25">
      <c r="A60" s="72"/>
    </row>
    <row r="61" spans="1:1" x14ac:dyDescent="0.25">
      <c r="A61" s="72"/>
    </row>
    <row r="62" spans="1:1" x14ac:dyDescent="0.25">
      <c r="A62" s="72"/>
    </row>
    <row r="63" spans="1:1" x14ac:dyDescent="0.25">
      <c r="A63" s="72"/>
    </row>
    <row r="64" spans="1:1" x14ac:dyDescent="0.25">
      <c r="A64" s="2"/>
    </row>
    <row r="65" spans="1:1" x14ac:dyDescent="0.25">
      <c r="A65" s="3"/>
    </row>
    <row r="66" spans="1:1" x14ac:dyDescent="0.25">
      <c r="A66" s="72"/>
    </row>
    <row r="67" spans="1:1" x14ac:dyDescent="0.25">
      <c r="A67" s="72"/>
    </row>
    <row r="68" spans="1:1" x14ac:dyDescent="0.25">
      <c r="A68" s="72"/>
    </row>
    <row r="69" spans="1:1" x14ac:dyDescent="0.25">
      <c r="A69" s="72"/>
    </row>
    <row r="70" spans="1:1" x14ac:dyDescent="0.25">
      <c r="A70" s="72"/>
    </row>
    <row r="71" spans="1:1" x14ac:dyDescent="0.25">
      <c r="A71" s="72"/>
    </row>
    <row r="72" spans="1:1" x14ac:dyDescent="0.25">
      <c r="A72" s="72"/>
    </row>
    <row r="73" spans="1:1" x14ac:dyDescent="0.25">
      <c r="A73" s="72"/>
    </row>
    <row r="74" spans="1:1" x14ac:dyDescent="0.25">
      <c r="A74" s="72"/>
    </row>
    <row r="75" spans="1:1" x14ac:dyDescent="0.25">
      <c r="A75" s="72"/>
    </row>
    <row r="76" spans="1:1" x14ac:dyDescent="0.25">
      <c r="A76" s="72"/>
    </row>
    <row r="77" spans="1:1" x14ac:dyDescent="0.25">
      <c r="A77" s="2"/>
    </row>
    <row r="78" spans="1:1" x14ac:dyDescent="0.25">
      <c r="A78" s="3"/>
    </row>
    <row r="79" spans="1:1" x14ac:dyDescent="0.25">
      <c r="A79" s="73"/>
    </row>
    <row r="80" spans="1:1" x14ac:dyDescent="0.25">
      <c r="A80" s="3"/>
    </row>
    <row r="81" spans="1:1" x14ac:dyDescent="0.25">
      <c r="A81" s="2"/>
    </row>
    <row r="82" spans="1:1" x14ac:dyDescent="0.25">
      <c r="A82" s="2"/>
    </row>
    <row r="83" spans="1:1" x14ac:dyDescent="0.25">
      <c r="A83" s="3"/>
    </row>
    <row r="84" spans="1:1" x14ac:dyDescent="0.25">
      <c r="A84" s="2"/>
    </row>
    <row r="85" spans="1:1" x14ac:dyDescent="0.25">
      <c r="A85" s="2"/>
    </row>
    <row r="86" spans="1:1" x14ac:dyDescent="0.25">
      <c r="A86" s="3"/>
    </row>
    <row r="87" spans="1:1" x14ac:dyDescent="0.25">
      <c r="A87" s="2"/>
    </row>
    <row r="88" spans="1:1" x14ac:dyDescent="0.25">
      <c r="A88" s="2"/>
    </row>
  </sheetData>
  <pageMargins left="0.7" right="0.7"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sheetPr>
  <dimension ref="A1:G86"/>
  <sheetViews>
    <sheetView view="pageBreakPreview" zoomScale="80" zoomScaleNormal="100" zoomScaleSheetLayoutView="80" workbookViewId="0">
      <selection activeCell="A2" sqref="A2"/>
    </sheetView>
  </sheetViews>
  <sheetFormatPr defaultColWidth="9.140625" defaultRowHeight="15" x14ac:dyDescent="0.3"/>
  <cols>
    <col min="1" max="1" width="18.5703125" style="4" customWidth="1"/>
    <col min="2" max="3" width="20.5703125" style="4" customWidth="1"/>
    <col min="4" max="4" width="38.28515625" style="4" customWidth="1"/>
    <col min="5" max="16384" width="9.140625" style="4"/>
  </cols>
  <sheetData>
    <row r="1" spans="1:7" ht="18.75" x14ac:dyDescent="0.3">
      <c r="A1" s="691" t="s">
        <v>2</v>
      </c>
      <c r="B1" s="691"/>
      <c r="C1" s="691"/>
    </row>
    <row r="3" spans="1:7" x14ac:dyDescent="0.3">
      <c r="A3" s="714" t="s">
        <v>31</v>
      </c>
      <c r="B3" s="714"/>
      <c r="C3" s="714"/>
      <c r="D3" s="714"/>
    </row>
    <row r="4" spans="1:7" ht="15.75" x14ac:dyDescent="0.3">
      <c r="A4" s="28" t="s">
        <v>30</v>
      </c>
      <c r="B4" s="717" t="e">
        <f>#REF!</f>
        <v>#REF!</v>
      </c>
      <c r="C4" s="717"/>
      <c r="D4" s="717"/>
    </row>
    <row r="5" spans="1:7" x14ac:dyDescent="0.3">
      <c r="A5" s="28" t="s">
        <v>29</v>
      </c>
      <c r="B5" s="718" t="e">
        <f>#REF!</f>
        <v>#REF!</v>
      </c>
      <c r="C5" s="718"/>
      <c r="D5" s="718"/>
    </row>
    <row r="6" spans="1:7" x14ac:dyDescent="0.3">
      <c r="A6" s="28" t="s">
        <v>28</v>
      </c>
      <c r="B6" s="718" t="e">
        <f>#REF!</f>
        <v>#REF!</v>
      </c>
      <c r="C6" s="718"/>
      <c r="D6" s="718"/>
    </row>
    <row r="7" spans="1:7" x14ac:dyDescent="0.3">
      <c r="A7" s="28" t="s">
        <v>27</v>
      </c>
      <c r="B7" s="719">
        <v>3448.5</v>
      </c>
      <c r="C7" s="719"/>
      <c r="D7" s="719"/>
      <c r="F7" s="18"/>
      <c r="G7" s="18"/>
    </row>
    <row r="8" spans="1:7" x14ac:dyDescent="0.3">
      <c r="A8" s="28" t="s">
        <v>26</v>
      </c>
      <c r="B8" s="718" t="s">
        <v>110</v>
      </c>
      <c r="C8" s="718"/>
      <c r="D8" s="718"/>
    </row>
    <row r="10" spans="1:7" x14ac:dyDescent="0.3">
      <c r="A10" s="714" t="s">
        <v>83</v>
      </c>
      <c r="B10" s="714"/>
      <c r="C10" s="714"/>
      <c r="D10" s="714"/>
    </row>
    <row r="11" spans="1:7" x14ac:dyDescent="0.3">
      <c r="A11" s="26" t="s">
        <v>90</v>
      </c>
      <c r="B11" s="10" t="s">
        <v>25</v>
      </c>
      <c r="C11" s="701" t="s">
        <v>24</v>
      </c>
      <c r="D11" s="702"/>
    </row>
    <row r="12" spans="1:7" x14ac:dyDescent="0.3">
      <c r="A12" s="26" t="s">
        <v>87</v>
      </c>
      <c r="B12" s="67">
        <f>'Referenčne količine'!AB5</f>
        <v>150500.45033333334</v>
      </c>
      <c r="C12" s="703">
        <f>'Referenčne količine'!AK5</f>
        <v>63998.666666666664</v>
      </c>
      <c r="D12" s="704"/>
      <c r="E12" s="18"/>
      <c r="F12" s="18"/>
    </row>
    <row r="13" spans="1:7" x14ac:dyDescent="0.3">
      <c r="A13" s="26" t="s">
        <v>89</v>
      </c>
      <c r="B13" s="68">
        <f>'Referenčne količine'!AA5</f>
        <v>94.725763068646941</v>
      </c>
      <c r="C13" s="705">
        <f>'Referenčne količine'!AI5</f>
        <v>0.11954134461134608</v>
      </c>
      <c r="D13" s="706"/>
      <c r="E13" s="27"/>
      <c r="F13" s="27"/>
    </row>
    <row r="14" spans="1:7" x14ac:dyDescent="0.3">
      <c r="A14" s="26" t="s">
        <v>88</v>
      </c>
      <c r="B14" s="25">
        <f>B12*B13</f>
        <v>14256270</v>
      </c>
      <c r="C14" s="707">
        <f>C12*C13</f>
        <v>7650.4866666666667</v>
      </c>
      <c r="D14" s="708"/>
      <c r="E14" s="24"/>
      <c r="F14" s="24"/>
    </row>
    <row r="15" spans="1:7" x14ac:dyDescent="0.3">
      <c r="A15" s="64" t="s">
        <v>82</v>
      </c>
      <c r="B15" s="720">
        <f>'Referenčne količine'!AP5</f>
        <v>2912</v>
      </c>
      <c r="C15" s="721"/>
      <c r="D15" s="722"/>
      <c r="E15" s="24"/>
      <c r="F15" s="24"/>
    </row>
    <row r="17" spans="1:4" x14ac:dyDescent="0.3">
      <c r="A17" s="695" t="s">
        <v>20</v>
      </c>
      <c r="B17" s="696"/>
      <c r="C17" s="696"/>
      <c r="D17" s="697"/>
    </row>
    <row r="18" spans="1:4" x14ac:dyDescent="0.3">
      <c r="A18" s="698" t="s">
        <v>116</v>
      </c>
      <c r="B18" s="699"/>
      <c r="C18" s="699"/>
      <c r="D18" s="700"/>
    </row>
    <row r="19" spans="1:4" x14ac:dyDescent="0.3">
      <c r="A19" s="698" t="s">
        <v>104</v>
      </c>
      <c r="B19" s="699"/>
      <c r="C19" s="699"/>
      <c r="D19" s="700"/>
    </row>
    <row r="20" spans="1:4" x14ac:dyDescent="0.3">
      <c r="A20" s="698" t="s">
        <v>105</v>
      </c>
      <c r="B20" s="699"/>
      <c r="C20" s="699"/>
      <c r="D20" s="700"/>
    </row>
    <row r="21" spans="1:4" x14ac:dyDescent="0.3">
      <c r="A21" s="698" t="s">
        <v>97</v>
      </c>
      <c r="B21" s="699"/>
      <c r="C21" s="699"/>
      <c r="D21" s="700"/>
    </row>
    <row r="22" spans="1:4" x14ac:dyDescent="0.3">
      <c r="A22" s="698" t="s">
        <v>98</v>
      </c>
      <c r="B22" s="699"/>
      <c r="C22" s="699"/>
      <c r="D22" s="700"/>
    </row>
    <row r="23" spans="1:4" s="11" customFormat="1" x14ac:dyDescent="0.3">
      <c r="A23" s="698" t="s">
        <v>106</v>
      </c>
      <c r="B23" s="699"/>
      <c r="C23" s="699"/>
      <c r="D23" s="700"/>
    </row>
    <row r="24" spans="1:4" x14ac:dyDescent="0.3">
      <c r="A24" s="698" t="s">
        <v>99</v>
      </c>
      <c r="B24" s="699"/>
      <c r="C24" s="699"/>
      <c r="D24" s="700"/>
    </row>
    <row r="25" spans="1:4" s="11" customFormat="1" x14ac:dyDescent="0.3">
      <c r="A25" s="698" t="s">
        <v>101</v>
      </c>
      <c r="B25" s="699"/>
      <c r="C25" s="699"/>
      <c r="D25" s="700"/>
    </row>
    <row r="26" spans="1:4" x14ac:dyDescent="0.3">
      <c r="A26" s="692" t="s">
        <v>103</v>
      </c>
      <c r="B26" s="693"/>
      <c r="C26" s="693"/>
      <c r="D26" s="694"/>
    </row>
    <row r="27" spans="1:4" x14ac:dyDescent="0.3">
      <c r="A27" s="692" t="s">
        <v>107</v>
      </c>
      <c r="B27" s="693"/>
      <c r="C27" s="693"/>
      <c r="D27" s="694"/>
    </row>
    <row r="28" spans="1:4" x14ac:dyDescent="0.3">
      <c r="A28" s="692" t="s">
        <v>108</v>
      </c>
      <c r="B28" s="693"/>
      <c r="C28" s="693"/>
      <c r="D28" s="694"/>
    </row>
    <row r="29" spans="1:4" x14ac:dyDescent="0.3">
      <c r="A29" s="692" t="s">
        <v>109</v>
      </c>
      <c r="B29" s="693"/>
      <c r="C29" s="693"/>
      <c r="D29" s="694"/>
    </row>
    <row r="30" spans="1:4" x14ac:dyDescent="0.3">
      <c r="A30" s="692" t="s">
        <v>102</v>
      </c>
      <c r="B30" s="693"/>
      <c r="C30" s="693"/>
      <c r="D30" s="694"/>
    </row>
    <row r="31" spans="1:4" x14ac:dyDescent="0.3">
      <c r="A31" s="698" t="s">
        <v>114</v>
      </c>
      <c r="B31" s="699"/>
      <c r="C31" s="699"/>
      <c r="D31" s="700"/>
    </row>
    <row r="32" spans="1:4" x14ac:dyDescent="0.3">
      <c r="A32" s="698" t="s">
        <v>115</v>
      </c>
      <c r="B32" s="699"/>
      <c r="C32" s="699"/>
      <c r="D32" s="700"/>
    </row>
    <row r="33" spans="1:4" x14ac:dyDescent="0.3">
      <c r="A33" s="698" t="s">
        <v>100</v>
      </c>
      <c r="B33" s="699"/>
      <c r="C33" s="699"/>
      <c r="D33" s="700"/>
    </row>
    <row r="34" spans="1:4" x14ac:dyDescent="0.3">
      <c r="A34" s="709"/>
      <c r="B34" s="710"/>
      <c r="C34" s="710"/>
      <c r="D34" s="711"/>
    </row>
    <row r="35" spans="1:4" x14ac:dyDescent="0.3">
      <c r="A35" s="712" t="s">
        <v>92</v>
      </c>
      <c r="B35" s="712"/>
      <c r="C35" s="712"/>
      <c r="D35" s="23"/>
    </row>
    <row r="36" spans="1:4" x14ac:dyDescent="0.3">
      <c r="A36" s="712" t="s">
        <v>93</v>
      </c>
      <c r="B36" s="712"/>
      <c r="C36" s="712"/>
      <c r="D36" s="22">
        <f>(D35*1.2)-D35</f>
        <v>0</v>
      </c>
    </row>
    <row r="37" spans="1:4" x14ac:dyDescent="0.3">
      <c r="A37" s="712" t="s">
        <v>94</v>
      </c>
      <c r="B37" s="712"/>
      <c r="C37" s="712"/>
      <c r="D37" s="22">
        <f>D36+D35</f>
        <v>0</v>
      </c>
    </row>
    <row r="38" spans="1:4" x14ac:dyDescent="0.3">
      <c r="A38" s="21"/>
      <c r="B38" s="21"/>
      <c r="C38" s="69"/>
      <c r="D38" s="20"/>
    </row>
    <row r="39" spans="1:4" x14ac:dyDescent="0.3">
      <c r="A39" s="712" t="s">
        <v>19</v>
      </c>
      <c r="B39" s="712"/>
      <c r="C39" s="712"/>
      <c r="D39" s="15"/>
    </row>
    <row r="40" spans="1:4" x14ac:dyDescent="0.3">
      <c r="A40" s="712" t="s">
        <v>18</v>
      </c>
      <c r="B40" s="712"/>
      <c r="C40" s="712"/>
      <c r="D40" s="14">
        <f>IF(D39=0, 0, B12-D39)</f>
        <v>0</v>
      </c>
    </row>
    <row r="41" spans="1:4" x14ac:dyDescent="0.3">
      <c r="A41" s="712" t="s">
        <v>17</v>
      </c>
      <c r="B41" s="712"/>
      <c r="C41" s="712"/>
      <c r="D41" s="65">
        <f>B13</f>
        <v>94.725763068646941</v>
      </c>
    </row>
    <row r="42" spans="1:4" x14ac:dyDescent="0.3">
      <c r="A42" s="712" t="s">
        <v>91</v>
      </c>
      <c r="B42" s="712"/>
      <c r="C42" s="712"/>
      <c r="D42" s="19">
        <f>D41*D39</f>
        <v>0</v>
      </c>
    </row>
    <row r="43" spans="1:4" x14ac:dyDescent="0.3">
      <c r="A43" s="713" t="s">
        <v>16</v>
      </c>
      <c r="B43" s="713"/>
      <c r="C43" s="713"/>
      <c r="D43" s="17">
        <f>IF(D42=0,0,B14-D42)</f>
        <v>0</v>
      </c>
    </row>
    <row r="44" spans="1:4" x14ac:dyDescent="0.3">
      <c r="A44" s="713" t="s">
        <v>15</v>
      </c>
      <c r="B44" s="713"/>
      <c r="C44" s="713"/>
      <c r="D44" s="16">
        <f>D43/B14</f>
        <v>0</v>
      </c>
    </row>
    <row r="45" spans="1:4" x14ac:dyDescent="0.3">
      <c r="A45" s="69"/>
      <c r="B45" s="69"/>
      <c r="C45" s="69"/>
      <c r="D45" s="11"/>
    </row>
    <row r="46" spans="1:4" x14ac:dyDescent="0.3">
      <c r="A46" s="712" t="s">
        <v>14</v>
      </c>
      <c r="B46" s="712"/>
      <c r="C46" s="712"/>
      <c r="D46" s="15"/>
    </row>
    <row r="47" spans="1:4" x14ac:dyDescent="0.3">
      <c r="A47" s="712" t="s">
        <v>13</v>
      </c>
      <c r="B47" s="712"/>
      <c r="C47" s="712"/>
      <c r="D47" s="14">
        <f>IF(D46=0, 0, C12-D46)</f>
        <v>0</v>
      </c>
    </row>
    <row r="48" spans="1:4" x14ac:dyDescent="0.3">
      <c r="A48" s="712" t="s">
        <v>12</v>
      </c>
      <c r="B48" s="712"/>
      <c r="C48" s="712"/>
      <c r="D48" s="13">
        <f>IF(D46=0, 0, 1-D46/C12)</f>
        <v>0</v>
      </c>
    </row>
    <row r="49" spans="1:4" x14ac:dyDescent="0.3">
      <c r="A49" s="712" t="s">
        <v>11</v>
      </c>
      <c r="B49" s="712"/>
      <c r="C49" s="712"/>
      <c r="D49" s="12">
        <f>IF(D46=0, 0, D47*C14/C12)</f>
        <v>0</v>
      </c>
    </row>
    <row r="50" spans="1:4" x14ac:dyDescent="0.3">
      <c r="A50" s="69"/>
      <c r="B50" s="69"/>
      <c r="C50" s="69"/>
      <c r="D50" s="11"/>
    </row>
    <row r="51" spans="1:4" x14ac:dyDescent="0.3">
      <c r="A51" s="712" t="s">
        <v>81</v>
      </c>
      <c r="B51" s="712"/>
      <c r="C51" s="712"/>
      <c r="D51" s="15"/>
    </row>
    <row r="52" spans="1:4" x14ac:dyDescent="0.3">
      <c r="A52" s="712" t="s">
        <v>79</v>
      </c>
      <c r="B52" s="712"/>
      <c r="C52" s="712"/>
      <c r="D52" s="13">
        <f>IF(D51=0,0,1-D51/B15)</f>
        <v>0</v>
      </c>
    </row>
    <row r="53" spans="1:4" x14ac:dyDescent="0.3">
      <c r="A53" s="712" t="s">
        <v>80</v>
      </c>
      <c r="B53" s="712"/>
      <c r="C53" s="712"/>
      <c r="D53" s="12">
        <f>IF(D51=0,0,D52*B15)</f>
        <v>0</v>
      </c>
    </row>
    <row r="54" spans="1:4" ht="15.75" thickBot="1" x14ac:dyDescent="0.35">
      <c r="D54" s="11"/>
    </row>
    <row r="55" spans="1:4" ht="16.5" customHeight="1" thickBot="1" x14ac:dyDescent="0.35">
      <c r="A55" s="723" t="s">
        <v>10</v>
      </c>
      <c r="B55" s="724"/>
      <c r="C55" s="725"/>
      <c r="D55" s="70">
        <f>D43+D49+D53</f>
        <v>0</v>
      </c>
    </row>
    <row r="56" spans="1:4" ht="16.5" customHeight="1" thickBot="1" x14ac:dyDescent="0.35">
      <c r="A56" s="726" t="s">
        <v>9</v>
      </c>
      <c r="B56" s="727"/>
      <c r="C56" s="728"/>
      <c r="D56" s="71">
        <f>C75</f>
        <v>0</v>
      </c>
    </row>
    <row r="58" spans="1:4" x14ac:dyDescent="0.3">
      <c r="A58" s="714" t="s">
        <v>8</v>
      </c>
      <c r="B58" s="714"/>
      <c r="C58" s="714"/>
    </row>
    <row r="59" spans="1:4" x14ac:dyDescent="0.3">
      <c r="A59" s="63" t="s">
        <v>7</v>
      </c>
      <c r="B59" s="63" t="s">
        <v>6</v>
      </c>
      <c r="C59" s="63" t="s">
        <v>5</v>
      </c>
    </row>
    <row r="60" spans="1:4" x14ac:dyDescent="0.3">
      <c r="A60" s="10">
        <v>1</v>
      </c>
      <c r="B60" s="9">
        <f t="shared" ref="B60:B74" si="0">$D$55</f>
        <v>0</v>
      </c>
      <c r="C60" s="8">
        <f t="shared" ref="C60:C74" si="1">B60/(1+$B$77)^A60</f>
        <v>0</v>
      </c>
    </row>
    <row r="61" spans="1:4" x14ac:dyDescent="0.3">
      <c r="A61" s="10">
        <v>2</v>
      </c>
      <c r="B61" s="9">
        <f t="shared" si="0"/>
        <v>0</v>
      </c>
      <c r="C61" s="8">
        <f t="shared" si="1"/>
        <v>0</v>
      </c>
    </row>
    <row r="62" spans="1:4" x14ac:dyDescent="0.3">
      <c r="A62" s="10">
        <v>3</v>
      </c>
      <c r="B62" s="9">
        <f t="shared" si="0"/>
        <v>0</v>
      </c>
      <c r="C62" s="8">
        <f t="shared" si="1"/>
        <v>0</v>
      </c>
    </row>
    <row r="63" spans="1:4" x14ac:dyDescent="0.3">
      <c r="A63" s="10">
        <v>4</v>
      </c>
      <c r="B63" s="9">
        <f t="shared" si="0"/>
        <v>0</v>
      </c>
      <c r="C63" s="8">
        <f t="shared" si="1"/>
        <v>0</v>
      </c>
    </row>
    <row r="64" spans="1:4" x14ac:dyDescent="0.3">
      <c r="A64" s="10">
        <v>5</v>
      </c>
      <c r="B64" s="9">
        <f t="shared" si="0"/>
        <v>0</v>
      </c>
      <c r="C64" s="8">
        <f t="shared" si="1"/>
        <v>0</v>
      </c>
    </row>
    <row r="65" spans="1:3" x14ac:dyDescent="0.3">
      <c r="A65" s="10">
        <v>6</v>
      </c>
      <c r="B65" s="9">
        <f t="shared" si="0"/>
        <v>0</v>
      </c>
      <c r="C65" s="8">
        <f t="shared" si="1"/>
        <v>0</v>
      </c>
    </row>
    <row r="66" spans="1:3" x14ac:dyDescent="0.3">
      <c r="A66" s="10">
        <v>7</v>
      </c>
      <c r="B66" s="9">
        <f t="shared" si="0"/>
        <v>0</v>
      </c>
      <c r="C66" s="8">
        <f t="shared" si="1"/>
        <v>0</v>
      </c>
    </row>
    <row r="67" spans="1:3" x14ac:dyDescent="0.3">
      <c r="A67" s="10">
        <v>8</v>
      </c>
      <c r="B67" s="9">
        <f t="shared" si="0"/>
        <v>0</v>
      </c>
      <c r="C67" s="8">
        <f t="shared" si="1"/>
        <v>0</v>
      </c>
    </row>
    <row r="68" spans="1:3" x14ac:dyDescent="0.3">
      <c r="A68" s="10">
        <v>9</v>
      </c>
      <c r="B68" s="9">
        <f t="shared" si="0"/>
        <v>0</v>
      </c>
      <c r="C68" s="8">
        <f t="shared" si="1"/>
        <v>0</v>
      </c>
    </row>
    <row r="69" spans="1:3" x14ac:dyDescent="0.3">
      <c r="A69" s="10">
        <v>10</v>
      </c>
      <c r="B69" s="9">
        <f t="shared" si="0"/>
        <v>0</v>
      </c>
      <c r="C69" s="8">
        <f t="shared" si="1"/>
        <v>0</v>
      </c>
    </row>
    <row r="70" spans="1:3" x14ac:dyDescent="0.3">
      <c r="A70" s="10">
        <v>11</v>
      </c>
      <c r="B70" s="9">
        <f t="shared" si="0"/>
        <v>0</v>
      </c>
      <c r="C70" s="8">
        <f t="shared" si="1"/>
        <v>0</v>
      </c>
    </row>
    <row r="71" spans="1:3" x14ac:dyDescent="0.3">
      <c r="A71" s="10">
        <v>12</v>
      </c>
      <c r="B71" s="9">
        <f t="shared" si="0"/>
        <v>0</v>
      </c>
      <c r="C71" s="8">
        <f t="shared" si="1"/>
        <v>0</v>
      </c>
    </row>
    <row r="72" spans="1:3" x14ac:dyDescent="0.3">
      <c r="A72" s="10">
        <v>13</v>
      </c>
      <c r="B72" s="9">
        <f t="shared" si="0"/>
        <v>0</v>
      </c>
      <c r="C72" s="8">
        <f t="shared" si="1"/>
        <v>0</v>
      </c>
    </row>
    <row r="73" spans="1:3" x14ac:dyDescent="0.3">
      <c r="A73" s="10">
        <v>14</v>
      </c>
      <c r="B73" s="9">
        <f t="shared" si="0"/>
        <v>0</v>
      </c>
      <c r="C73" s="8">
        <f t="shared" si="1"/>
        <v>0</v>
      </c>
    </row>
    <row r="74" spans="1:3" x14ac:dyDescent="0.3">
      <c r="A74" s="10">
        <v>15</v>
      </c>
      <c r="B74" s="9">
        <f t="shared" si="0"/>
        <v>0</v>
      </c>
      <c r="C74" s="8">
        <f t="shared" si="1"/>
        <v>0</v>
      </c>
    </row>
    <row r="75" spans="1:3" x14ac:dyDescent="0.3">
      <c r="A75" s="715" t="s">
        <v>4</v>
      </c>
      <c r="B75" s="716"/>
      <c r="C75" s="7">
        <f>SUM(C60:C74)</f>
        <v>0</v>
      </c>
    </row>
    <row r="77" spans="1:3" x14ac:dyDescent="0.3">
      <c r="A77" s="6" t="s">
        <v>3</v>
      </c>
      <c r="B77" s="5">
        <v>7.0000000000000007E-2</v>
      </c>
    </row>
    <row r="83" spans="1:4" s="11" customFormat="1" x14ac:dyDescent="0.3">
      <c r="A83" s="4"/>
      <c r="B83" s="4"/>
      <c r="C83" s="4"/>
      <c r="D83" s="4"/>
    </row>
    <row r="86" spans="1:4" s="11" customFormat="1" x14ac:dyDescent="0.3">
      <c r="A86" s="4"/>
      <c r="B86" s="4"/>
      <c r="C86" s="4"/>
      <c r="D86" s="4"/>
    </row>
  </sheetData>
  <mergeCells count="51">
    <mergeCell ref="A58:C58"/>
    <mergeCell ref="A75:B75"/>
    <mergeCell ref="A3:D3"/>
    <mergeCell ref="B4:D4"/>
    <mergeCell ref="B5:D5"/>
    <mergeCell ref="B6:D6"/>
    <mergeCell ref="B7:D7"/>
    <mergeCell ref="B8:D8"/>
    <mergeCell ref="A10:D10"/>
    <mergeCell ref="B15:D15"/>
    <mergeCell ref="A51:C51"/>
    <mergeCell ref="A52:C52"/>
    <mergeCell ref="A53:C53"/>
    <mergeCell ref="A55:C55"/>
    <mergeCell ref="A56:C56"/>
    <mergeCell ref="A49:C49"/>
    <mergeCell ref="A43:C43"/>
    <mergeCell ref="A44:C44"/>
    <mergeCell ref="A46:C46"/>
    <mergeCell ref="A47:C47"/>
    <mergeCell ref="A48:C48"/>
    <mergeCell ref="A37:C37"/>
    <mergeCell ref="A39:C39"/>
    <mergeCell ref="A40:C40"/>
    <mergeCell ref="A41:C41"/>
    <mergeCell ref="A42:C42"/>
    <mergeCell ref="A32:D32"/>
    <mergeCell ref="A33:D33"/>
    <mergeCell ref="A34:D34"/>
    <mergeCell ref="A35:C35"/>
    <mergeCell ref="A36:C36"/>
    <mergeCell ref="A31:D31"/>
    <mergeCell ref="A23:D23"/>
    <mergeCell ref="A24:D24"/>
    <mergeCell ref="A25:D25"/>
    <mergeCell ref="A26:D26"/>
    <mergeCell ref="A1:C1"/>
    <mergeCell ref="A27:D27"/>
    <mergeCell ref="A28:D28"/>
    <mergeCell ref="A29:D29"/>
    <mergeCell ref="A30:D30"/>
    <mergeCell ref="A17:D17"/>
    <mergeCell ref="A19:D19"/>
    <mergeCell ref="A20:D20"/>
    <mergeCell ref="A21:D21"/>
    <mergeCell ref="A22:D22"/>
    <mergeCell ref="C11:D11"/>
    <mergeCell ref="C12:D12"/>
    <mergeCell ref="C13:D13"/>
    <mergeCell ref="C14:D14"/>
    <mergeCell ref="A18:D18"/>
  </mergeCells>
  <conditionalFormatting sqref="D48 D43">
    <cfRule type="cellIs" dxfId="21" priority="4" operator="lessThan">
      <formula>0</formula>
    </cfRule>
  </conditionalFormatting>
  <conditionalFormatting sqref="D52">
    <cfRule type="cellIs" dxfId="20" priority="1" operator="lessThan">
      <formula>0</formula>
    </cfRule>
  </conditionalFormatting>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20</vt:i4>
      </vt:variant>
      <vt:variant>
        <vt:lpstr>Imenovani obsegi</vt:lpstr>
      </vt:variant>
      <vt:variant>
        <vt:i4>3</vt:i4>
      </vt:variant>
    </vt:vector>
  </HeadingPairs>
  <TitlesOfParts>
    <vt:vector size="23" baseType="lpstr">
      <vt:lpstr>PROGRAM IZVAJANJA</vt:lpstr>
      <vt:lpstr>Podatki o objektih</vt:lpstr>
      <vt:lpstr>Referenčne količine</vt:lpstr>
      <vt:lpstr>CENE ENERGENTOV OB MENJAVI</vt:lpstr>
      <vt:lpstr>STANDARD UDOBJA</vt:lpstr>
      <vt:lpstr>EN. UPRAVLJANJE</vt:lpstr>
      <vt:lpstr>UKREPI - SPLOŠNE ZAHTEVE</vt:lpstr>
      <vt:lpstr>UKREPI (PO OBJEKTIH)</vt:lpstr>
      <vt:lpstr>OB3</vt:lpstr>
      <vt:lpstr>UKREPI (SKUPAJ)</vt:lpstr>
      <vt:lpstr>OB10</vt:lpstr>
      <vt:lpstr>OB12</vt:lpstr>
      <vt:lpstr>OB13</vt:lpstr>
      <vt:lpstr>OB14</vt:lpstr>
      <vt:lpstr>OB15</vt:lpstr>
      <vt:lpstr>OB16</vt:lpstr>
      <vt:lpstr>UKREPI SKUPAJ</vt:lpstr>
      <vt:lpstr>VZOREC OBRAČUNA - TOPLOTA</vt:lpstr>
      <vt:lpstr>VZOREC OBRAČUNA - EL. ENERG</vt:lpstr>
      <vt:lpstr>VZOREC OBRAČUNA - SKUPAJ</vt:lpstr>
      <vt:lpstr>'EN. UPRAVLJANJE'!Področje_tiskanja</vt:lpstr>
      <vt:lpstr>'Referenčne količine'!Področje_tiskanja</vt:lpstr>
      <vt:lpstr>'UKREPI (PO OBJEKTIH)'!Področje_tiskanja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2020-03-09T08:31:35Z</dcterms:modified>
</cp:coreProperties>
</file>