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228"/>
  <workbookPr defaultThemeVersion="166925"/>
  <mc:AlternateContent xmlns:mc="http://schemas.openxmlformats.org/markup-compatibility/2006">
    <mc:Choice Requires="x15">
      <x15ac:absPath xmlns:x15ac="http://schemas.microsoft.com/office/spreadsheetml/2010/11/ac" url="I:\JAVNA NAROCILA\2018 Proj.doc- Cesta R2-419 BR-KV in BR-Catez ob Savi\Dokumentacija za objavo\Idejna rešitev\"/>
    </mc:Choice>
  </mc:AlternateContent>
  <xr:revisionPtr revIDLastSave="0" documentId="13_ncr:1_{44FCC79B-F848-44C5-A37C-260FB4186EF6}" xr6:coauthVersionLast="34" xr6:coauthVersionMax="34" xr10:uidLastSave="{00000000-0000-0000-0000-000000000000}"/>
  <bookViews>
    <workbookView xWindow="0" yWindow="0" windowWidth="25200" windowHeight="11760" activeTab="1" xr2:uid="{00000000-000D-0000-FFFF-FFFF00000000}"/>
  </bookViews>
  <sheets>
    <sheet name="tabela 1" sheetId="1" r:id="rId1"/>
    <sheet name="tabela 2 - vrste kol.pov" sheetId="2" r:id="rId2"/>
    <sheet name="skupni stroški - vse" sheetId="4" r:id="rId3"/>
    <sheet name="terminski plan" sheetId="5" r:id="rId4"/>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5" l="1"/>
  <c r="U15" i="4"/>
  <c r="O24" i="4" s="1"/>
  <c r="B9" i="5" s="1"/>
  <c r="N7" i="4"/>
  <c r="V7" i="4" s="1"/>
  <c r="N8" i="4"/>
  <c r="W8" i="4" s="1"/>
  <c r="N9" i="4"/>
  <c r="V9" i="4" s="1"/>
  <c r="N10" i="4"/>
  <c r="W10" i="4" s="1"/>
  <c r="N11" i="4"/>
  <c r="V11" i="4" s="1"/>
  <c r="I9" i="4"/>
  <c r="I10" i="4"/>
  <c r="I11" i="4"/>
  <c r="I8" i="4"/>
  <c r="I7" i="4"/>
  <c r="G19" i="4"/>
  <c r="J20" i="4"/>
  <c r="K15" i="4"/>
  <c r="Q11" i="4"/>
  <c r="R11" i="4" s="1"/>
  <c r="T11" i="4" s="1"/>
  <c r="O15" i="4"/>
  <c r="O22" i="4" s="1"/>
  <c r="B7" i="5" s="1"/>
  <c r="Q8" i="4"/>
  <c r="T10" i="4"/>
  <c r="S9" i="4"/>
  <c r="T9" i="4" s="1"/>
  <c r="R8" i="4"/>
  <c r="T8" i="4" s="1"/>
  <c r="S7" i="4"/>
  <c r="T6" i="4"/>
  <c r="N6" i="4"/>
  <c r="V6" i="4" s="1"/>
  <c r="K6" i="4"/>
  <c r="Q15" i="4"/>
  <c r="N5" i="4"/>
  <c r="L5" i="4"/>
  <c r="F15" i="4"/>
  <c r="G14" i="4" s="1"/>
  <c r="L14" i="4" s="1"/>
  <c r="F15" i="2"/>
  <c r="G14" i="2" s="1"/>
  <c r="G11" i="2"/>
  <c r="G7" i="2"/>
  <c r="G8" i="4" l="1"/>
  <c r="G6" i="4"/>
  <c r="G10" i="4"/>
  <c r="G7" i="4"/>
  <c r="G12" i="4"/>
  <c r="L12" i="4" s="1"/>
  <c r="G5" i="4"/>
  <c r="G9" i="4"/>
  <c r="G11" i="4"/>
  <c r="G13" i="4"/>
  <c r="L13" i="4" s="1"/>
  <c r="R15" i="4"/>
  <c r="V8" i="4"/>
  <c r="V10" i="4"/>
  <c r="W7" i="4"/>
  <c r="W9" i="4"/>
  <c r="W11" i="4"/>
  <c r="G15" i="4"/>
  <c r="N15" i="4"/>
  <c r="O21" i="4" s="1"/>
  <c r="B6" i="5" s="1"/>
  <c r="S15" i="4"/>
  <c r="T7" i="4"/>
  <c r="K5" i="4"/>
  <c r="R5" i="4"/>
  <c r="V5" i="4"/>
  <c r="L6" i="4"/>
  <c r="L15" i="4" s="1"/>
  <c r="J15" i="4" s="1"/>
  <c r="O20" i="4" s="1"/>
  <c r="B5" i="5" s="1"/>
  <c r="W6" i="4"/>
  <c r="W5" i="4"/>
  <c r="G5" i="2"/>
  <c r="G9" i="2"/>
  <c r="G13" i="2"/>
  <c r="G6" i="2"/>
  <c r="G8" i="2"/>
  <c r="A19" i="2" s="1"/>
  <c r="G10" i="2"/>
  <c r="A18" i="2" s="1"/>
  <c r="G12" i="2"/>
  <c r="V15" i="4" l="1"/>
  <c r="O25" i="4" s="1"/>
  <c r="B10" i="5" s="1"/>
  <c r="A17" i="2"/>
  <c r="W15" i="4"/>
  <c r="O26" i="4" s="1"/>
  <c r="B11" i="5" s="1"/>
  <c r="T5" i="4"/>
  <c r="T15" i="4" s="1"/>
  <c r="O23" i="4" s="1"/>
  <c r="B8" i="5" s="1"/>
  <c r="A20" i="2"/>
  <c r="G15" i="2"/>
  <c r="G15" i="1"/>
  <c r="B13" i="5" l="1"/>
  <c r="D26" i="5"/>
  <c r="O28" i="4"/>
  <c r="H8" i="1"/>
  <c r="H7" i="1"/>
  <c r="H10" i="1"/>
  <c r="H14" i="1"/>
  <c r="H13" i="1"/>
  <c r="H12" i="1"/>
  <c r="H11" i="1"/>
  <c r="H9" i="1"/>
  <c r="H5" i="1"/>
  <c r="H6" i="1"/>
  <c r="A17" i="1" l="1"/>
  <c r="H15" i="1"/>
  <c r="A18" i="1"/>
  <c r="A20" i="1" s="1"/>
  <c r="D28" i="5"/>
  <c r="D22" i="5" s="1"/>
  <c r="D27" i="5"/>
  <c r="D21" i="5" s="1"/>
  <c r="D23" i="5" l="1"/>
</calcChain>
</file>

<file path=xl/sharedStrings.xml><?xml version="1.0" encoding="utf-8"?>
<sst xmlns="http://schemas.openxmlformats.org/spreadsheetml/2006/main" count="289" uniqueCount="122">
  <si>
    <t>status</t>
  </si>
  <si>
    <t>način vodenja kolesarjev</t>
  </si>
  <si>
    <t>dolžina
(m)</t>
  </si>
  <si>
    <t>CESTA - opisno</t>
  </si>
  <si>
    <t>Oznaka ceste</t>
  </si>
  <si>
    <t>predvideno - po vozišču</t>
  </si>
  <si>
    <t>TABELA 1: Prikaz zveznosti kolesarske povezave in način vodenja kolesarjev</t>
  </si>
  <si>
    <t>delež
glede na celotno traso</t>
  </si>
  <si>
    <t>št.odseka
(številka kot v
grafičnem 
delu- po PISO)</t>
  </si>
  <si>
    <t>SKUPAJ:</t>
  </si>
  <si>
    <t>delež
proj.dok.</t>
  </si>
  <si>
    <t>projektna dokumentacija</t>
  </si>
  <si>
    <t>skupaj</t>
  </si>
  <si>
    <t>z DDV</t>
  </si>
  <si>
    <t>UPRAV.
koles.st</t>
  </si>
  <si>
    <t>izvedba kol.steze</t>
  </si>
  <si>
    <t>strošek
koles.steze
po m1 z DDV</t>
  </si>
  <si>
    <t>strošek
koles.steze
skupno</t>
  </si>
  <si>
    <t>strošek
nakupa
zemljišča
po 
odsekih</t>
  </si>
  <si>
    <t>odkup zemljišča - s spremljajočimi stroški</t>
  </si>
  <si>
    <t>kmetij.
4,0€/m2</t>
  </si>
  <si>
    <t>stavbna
13€/m2</t>
  </si>
  <si>
    <t>skupaj:</t>
  </si>
  <si>
    <t>skupaj z DDV:</t>
  </si>
  <si>
    <t>izvedba</t>
  </si>
  <si>
    <t>zemljišča
 (brez DDV)</t>
  </si>
  <si>
    <t>arheologi</t>
  </si>
  <si>
    <t>nadzor</t>
  </si>
  <si>
    <t>varnost</t>
  </si>
  <si>
    <t>arheolog</t>
  </si>
  <si>
    <t>parcelacija</t>
  </si>
  <si>
    <t>razpisi za izvedbo, nadzor, varnost, arheologijo</t>
  </si>
  <si>
    <t>izvedba, nadzor, varnost, arheologija</t>
  </si>
  <si>
    <t>2/3 v 2021</t>
  </si>
  <si>
    <t>1/3 v 2022</t>
  </si>
  <si>
    <t>izvedba proj.dok z recenzijo</t>
  </si>
  <si>
    <t xml:space="preserve">2018 in 2019 </t>
  </si>
  <si>
    <t>obstoječe stanje</t>
  </si>
  <si>
    <t>nadzor
3% izvedbe</t>
  </si>
  <si>
    <t>varnost
1% izvedbe</t>
  </si>
  <si>
    <t>javna razsvetljava</t>
  </si>
  <si>
    <t>obstoječa</t>
  </si>
  <si>
    <t>TABELA 2: Prikaz zveznosti kolesarske povezave in obseg posameznih vrst kolesarskih povezav</t>
  </si>
  <si>
    <t>dejavnost</t>
  </si>
  <si>
    <t>izvedba, nadzor, varnost, arheologija med izv.</t>
  </si>
  <si>
    <t>proj.dok. z 
recenzijo</t>
  </si>
  <si>
    <t>TABELA 3: Prikaz stroškov za kolesarsko povezavo</t>
  </si>
  <si>
    <t>TABELA 4 in 5: Prikaz stroškov za kolesarsko povezavo - opredeljeno terminsko</t>
  </si>
  <si>
    <t>(brez investicijske dokumentacije)</t>
  </si>
  <si>
    <t>KOLESARSKA POVEZAVA OB R2-419 na relaciji Brežice - Krška vas</t>
  </si>
  <si>
    <t>odsek 1</t>
  </si>
  <si>
    <t>LZ026021</t>
  </si>
  <si>
    <t>predvideno
(ni predmet 
dogovora za 
razvoj)</t>
  </si>
  <si>
    <t>odsek 2</t>
  </si>
  <si>
    <t>Prešernova cesta
(grad BR - Sava) 
Brežice</t>
  </si>
  <si>
    <t>LZ026031</t>
  </si>
  <si>
    <t>odsek 3</t>
  </si>
  <si>
    <t>R2-419/1206</t>
  </si>
  <si>
    <t>most čez Krko pri Brežicah - do ŠRC Grič</t>
  </si>
  <si>
    <t>odsek 4</t>
  </si>
  <si>
    <t>odsek 5</t>
  </si>
  <si>
    <t>odsek 6</t>
  </si>
  <si>
    <t>odsek 9</t>
  </si>
  <si>
    <t>odsek 10</t>
  </si>
  <si>
    <t>odsek 7</t>
  </si>
  <si>
    <t>odsek 8</t>
  </si>
  <si>
    <t>predviden
970m pločnika</t>
  </si>
  <si>
    <t xml:space="preserve">predvidena 
rekonstrukcija
križišča z 
dvema AP </t>
  </si>
  <si>
    <t>obnova
dveh AP</t>
  </si>
  <si>
    <t>ŠRC Grič -  do 
mosta v Krški vasi</t>
  </si>
  <si>
    <t>na južni strani R2-420
izgradnja pločnika</t>
  </si>
  <si>
    <t xml:space="preserve">predvideno - večnamenska 
pot za kolesarje in pešce  širine cca 3m nivojsko
ločena od vozišča </t>
  </si>
  <si>
    <t>predvideno (predlog za dogovor za razvoj regij)</t>
  </si>
  <si>
    <t>Krška vas
most čez Krko do 
LC024691 za Boršt</t>
  </si>
  <si>
    <t>križišče Velike 
Malence</t>
  </si>
  <si>
    <t>stikovanje predvidenega
po odsekih 3 in 4</t>
  </si>
  <si>
    <t>avtobusni postaji
Velike Malence
(obnova)</t>
  </si>
  <si>
    <t>v območju AP ni urejenih
kolesrskih poti</t>
  </si>
  <si>
    <t>vodenje kolesarjev po vozišču</t>
  </si>
  <si>
    <t>na mostu čez Krko oz. čez naselje Krška vas, bi širina ceste 
omogočala zaris kolesarskih pasov (sedaj so zarisani robni pasovi)</t>
  </si>
  <si>
    <t>ŠRC Grič -  do mosta v Krški vasi
(smer Brežice - Krška vas)</t>
  </si>
  <si>
    <t xml:space="preserve">
most čez Krko do 
območja gostilne 
Grič
(smer Brežice - Čatež)</t>
  </si>
  <si>
    <t>obstoječa cesta  ob reki Krki brez površin za pešce in kolesarje, ob kateri je odbojna ograja zaradi struge reke Krke (ne pešci, ne kolesarji se ne morejo nikamor umakniti, je pa odsek zelo atraktiven in uporaben za dnevne  in druge migracije s smeri Čateža ob Savi</t>
  </si>
  <si>
    <t>navezava od ceste 
R2-419 do LC 024131</t>
  </si>
  <si>
    <t>R2-419/1206
(navezava v vodenje
po Sava-Krka bike
trasi - državna DKV)</t>
  </si>
  <si>
    <t>predvideno - ločena večnamenska pot umaknjena od ceste</t>
  </si>
  <si>
    <t>obstoječa povezava med obema cestama poteka po shojeni gozdni poti</t>
  </si>
  <si>
    <t>predvideno  v 2018/2019:
dvostranska enosmerna kolesarska steza
in pločnik (dogovor s HESS)</t>
  </si>
  <si>
    <t xml:space="preserve">predviden  v 2018: kolesarski pas za smer proti Brežicam; za smer iz Brežic pa kot sharowed space, saj je promet enosmeren in omejen na 30km/h </t>
  </si>
  <si>
    <t>precej širok in odprt cestni odsek brez površin za kolesarje in pešce,  kjer se razvijajo velike hitrosti zaradi ravnine</t>
  </si>
  <si>
    <t>dotrajana cesta po gradnji HE Brežice z obojestranskimi
pločniki brez pločnika (sklepanje dogovora s HESS za ureditev cestnega odseka po izgradnji HE Brežice)</t>
  </si>
  <si>
    <t>mostova sta trenutno zaprta za ves promet zaradi problematične statike - v letu 2018 je predvidena sanacija  in odprtje (JN že poteka)</t>
  </si>
  <si>
    <t>obstoječa cesta vsekana v obronek hriba  ob reki Krki brez površin za pešce in kolesarje, ob kateri je oporni zid hriba in odbojna ograja zaradi struge reke Krke (ne pešci, ne kolesarji se ne morejo nikamor umakniti, je pa odsek zelo atraktiven in uporaben za dnevne  in druge migracije Krška vas - Brežice</t>
  </si>
  <si>
    <t>predvideno - dvosmerna kolesarska steza  na S stran ceste (nivojsko ali z zelenim pasom ločena od vozišča)</t>
  </si>
  <si>
    <t>predvideno - ni predlog dogovora za razvoj regij</t>
  </si>
  <si>
    <t>predvideno - je predlog dogovora za razvoj regij</t>
  </si>
  <si>
    <t>predvideno - ni predlog dogovora za razvoj regij in se ne nanaša na kol.povezave</t>
  </si>
  <si>
    <t>predvideno - večnameske poti</t>
  </si>
  <si>
    <t>predvideno - ločena dvosmerna kolesarska steza</t>
  </si>
  <si>
    <t xml:space="preserve">od Prešernove ceste čez mostove
Save in Krke do R2-419/1206
</t>
  </si>
  <si>
    <t>izdelana</t>
  </si>
  <si>
    <t>cesta 0%
pot 100%</t>
  </si>
  <si>
    <t>neupravičeno</t>
  </si>
  <si>
    <t>osvetljen bo pločnik na drugi strani ceste</t>
  </si>
  <si>
    <t>zemljišča
število m2 za kol.stezo</t>
  </si>
  <si>
    <t>v okviru
 pločnika</t>
  </si>
  <si>
    <t xml:space="preserve">
NEUPR
cesta+
pločnik</t>
  </si>
  <si>
    <t>cesta 0%
pločnik 0%
pl-3m</t>
  </si>
  <si>
    <t>rešuje tudi
kol.povezave</t>
  </si>
  <si>
    <t>970 m pločnika</t>
  </si>
  <si>
    <t>2010 m kolesarskih povezav</t>
  </si>
  <si>
    <t>potrebna projektna dokumentacija</t>
  </si>
  <si>
    <t>2980m skupaj</t>
  </si>
  <si>
    <t>delež proj.dok</t>
  </si>
  <si>
    <t>ni merodajno za
 dogovor za razvoj regij</t>
  </si>
  <si>
    <t>ob izvedbi</t>
  </si>
  <si>
    <t>izvedba predvidena:</t>
  </si>
  <si>
    <t>skupaj z DDV
v €:</t>
  </si>
  <si>
    <t>recenzija, parcelacija, del odkupov, arheologija
(50.000 proj.dok., 10.000,00 parcelacija, 
20.000 arheologija; ostalo zemljišča)</t>
  </si>
  <si>
    <t>2019-razpis, izvedba 2020-2021</t>
  </si>
  <si>
    <t>2019-razpis, izvedba 2020-2021/ 20% v 2019 (predhodne raziskave)</t>
  </si>
  <si>
    <t>predvideni stroški po letih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</si>
</sst>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s>
  <fills count="16">
    <fill>
      <patternFill patternType="none"/>
    </fill>
    <fill>
      <patternFill patternType="gray125"/>
    </fill>
    <fill>
      <patternFill patternType="solid">
        <fgColor theme="7" tint="0.39997558519241921"/>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rgb="FF00B0F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9" fontId="0" fillId="0" borderId="0" xfId="2" applyFont="1"/>
    <xf numFmtId="0" fontId="0" fillId="2" borderId="0" xfId="0" applyFill="1"/>
    <xf numFmtId="0" fontId="0" fillId="4" borderId="0" xfId="0" applyFill="1"/>
    <xf numFmtId="0" fontId="0" fillId="0" borderId="1" xfId="0" applyBorder="1"/>
    <xf numFmtId="0" fontId="0" fillId="2" borderId="1" xfId="0" applyFill="1" applyBorder="1"/>
    <xf numFmtId="0" fontId="0" fillId="2" borderId="1" xfId="0" applyFill="1" applyBorder="1" applyAlignment="1">
      <alignment wrapText="1"/>
    </xf>
    <xf numFmtId="0" fontId="0" fillId="2" borderId="5" xfId="0" applyFill="1" applyBorder="1"/>
    <xf numFmtId="0" fontId="0" fillId="0" borderId="7" xfId="0" applyBorder="1"/>
    <xf numFmtId="0" fontId="0" fillId="0" borderId="8" xfId="0" applyBorder="1"/>
    <xf numFmtId="0" fontId="2" fillId="0" borderId="3" xfId="0" applyFont="1" applyBorder="1"/>
    <xf numFmtId="0" fontId="2" fillId="0" borderId="3" xfId="0" applyFont="1" applyBorder="1" applyAlignment="1">
      <alignment wrapText="1"/>
    </xf>
    <xf numFmtId="0" fontId="2" fillId="0" borderId="2" xfId="0" applyFont="1" applyBorder="1" applyAlignment="1">
      <alignment wrapText="1"/>
    </xf>
    <xf numFmtId="0" fontId="3" fillId="0" borderId="0" xfId="0" applyFont="1"/>
    <xf numFmtId="0" fontId="0" fillId="5" borderId="1" xfId="0" applyFill="1" applyBorder="1" applyAlignment="1">
      <alignment wrapText="1"/>
    </xf>
    <xf numFmtId="43" fontId="3" fillId="0" borderId="0" xfId="1" applyFont="1"/>
    <xf numFmtId="43" fontId="0" fillId="0" borderId="0" xfId="1" applyFont="1"/>
    <xf numFmtId="9" fontId="3" fillId="0" borderId="0" xfId="2" applyFont="1"/>
    <xf numFmtId="43" fontId="0" fillId="0" borderId="0" xfId="0" applyNumberFormat="1"/>
    <xf numFmtId="43" fontId="0" fillId="0" borderId="0" xfId="1" applyFont="1" applyBorder="1"/>
    <xf numFmtId="43" fontId="0" fillId="0" borderId="0" xfId="0" applyNumberFormat="1" applyBorder="1"/>
    <xf numFmtId="0" fontId="3" fillId="5" borderId="0" xfId="0" applyFont="1" applyFill="1"/>
    <xf numFmtId="0" fontId="3" fillId="6" borderId="0" xfId="0" applyFont="1" applyFill="1"/>
    <xf numFmtId="43" fontId="3" fillId="6" borderId="0" xfId="1" applyFont="1" applyFill="1"/>
    <xf numFmtId="0" fontId="3" fillId="8" borderId="0" xfId="0" applyFont="1" applyFill="1"/>
    <xf numFmtId="43" fontId="0" fillId="0" borderId="1" xfId="1" applyFont="1" applyBorder="1"/>
    <xf numFmtId="43" fontId="0" fillId="0" borderId="1" xfId="0" applyNumberFormat="1" applyBorder="1"/>
    <xf numFmtId="0" fontId="3" fillId="10" borderId="0" xfId="0" applyFont="1" applyFill="1" applyAlignment="1">
      <alignment wrapText="1"/>
    </xf>
    <xf numFmtId="0" fontId="3" fillId="7" borderId="0" xfId="0" applyFont="1" applyFill="1"/>
    <xf numFmtId="0" fontId="0" fillId="7" borderId="1" xfId="0" applyFill="1" applyBorder="1"/>
    <xf numFmtId="0" fontId="0" fillId="10" borderId="1" xfId="0" applyFill="1" applyBorder="1"/>
    <xf numFmtId="0" fontId="0" fillId="9" borderId="1" xfId="0" applyFill="1" applyBorder="1"/>
    <xf numFmtId="0" fontId="0" fillId="8" borderId="1" xfId="0" applyFill="1" applyBorder="1"/>
    <xf numFmtId="0" fontId="0" fillId="0" borderId="0" xfId="0" applyAlignment="1">
      <alignment horizontal="left"/>
    </xf>
    <xf numFmtId="0" fontId="0" fillId="0" borderId="1" xfId="0" applyBorder="1" applyAlignment="1">
      <alignment horizontal="right"/>
    </xf>
    <xf numFmtId="43" fontId="2" fillId="0" borderId="0" xfId="1" applyFont="1"/>
    <xf numFmtId="0" fontId="3" fillId="11" borderId="0" xfId="0" applyFont="1" applyFill="1"/>
    <xf numFmtId="0" fontId="3" fillId="11" borderId="0" xfId="0" applyFont="1" applyFill="1" applyAlignment="1">
      <alignment wrapText="1"/>
    </xf>
    <xf numFmtId="0" fontId="0" fillId="11" borderId="1" xfId="0" applyFill="1" applyBorder="1"/>
    <xf numFmtId="0" fontId="2" fillId="0" borderId="3" xfId="0" applyFont="1" applyFill="1" applyBorder="1"/>
    <xf numFmtId="0" fontId="0" fillId="0" borderId="1" xfId="0" applyBorder="1" applyAlignment="1">
      <alignment wrapText="1"/>
    </xf>
    <xf numFmtId="0" fontId="0" fillId="4" borderId="5" xfId="0" applyFill="1" applyBorder="1" applyAlignment="1">
      <alignment wrapText="1"/>
    </xf>
    <xf numFmtId="43" fontId="0" fillId="0" borderId="5" xfId="0" applyNumberFormat="1" applyFill="1" applyBorder="1"/>
    <xf numFmtId="43" fontId="0" fillId="0" borderId="5" xfId="0" applyNumberFormat="1" applyBorder="1"/>
    <xf numFmtId="43" fontId="0" fillId="0" borderId="1" xfId="1" applyFont="1" applyFill="1" applyBorder="1"/>
    <xf numFmtId="43" fontId="0" fillId="0" borderId="8" xfId="1" applyFont="1" applyFill="1" applyBorder="1"/>
    <xf numFmtId="0" fontId="0" fillId="3" borderId="1" xfId="0" applyFill="1" applyBorder="1" applyAlignment="1">
      <alignment wrapText="1"/>
    </xf>
    <xf numFmtId="0" fontId="0" fillId="11" borderId="5" xfId="0" applyFill="1" applyBorder="1" applyAlignment="1">
      <alignment wrapText="1"/>
    </xf>
    <xf numFmtId="0" fontId="0" fillId="11" borderId="1" xfId="0" applyFill="1" applyBorder="1" applyAlignment="1">
      <alignment wrapText="1"/>
    </xf>
    <xf numFmtId="0" fontId="0" fillId="12" borderId="5" xfId="0" applyFill="1" applyBorder="1"/>
    <xf numFmtId="0" fontId="0" fillId="12" borderId="1" xfId="0" applyFill="1" applyBorder="1"/>
    <xf numFmtId="0" fontId="0" fillId="12" borderId="1" xfId="0" applyFill="1" applyBorder="1" applyAlignment="1">
      <alignment wrapText="1"/>
    </xf>
    <xf numFmtId="0" fontId="0" fillId="11" borderId="5" xfId="0" applyFill="1" applyBorder="1"/>
    <xf numFmtId="10" fontId="3" fillId="0" borderId="0" xfId="0" applyNumberFormat="1" applyFont="1"/>
    <xf numFmtId="10" fontId="2" fillId="0" borderId="4" xfId="0" applyNumberFormat="1" applyFont="1" applyBorder="1" applyAlignment="1">
      <alignment wrapText="1"/>
    </xf>
    <xf numFmtId="10" fontId="0" fillId="2" borderId="6" xfId="2" applyNumberFormat="1" applyFont="1" applyFill="1" applyBorder="1"/>
    <xf numFmtId="10" fontId="0" fillId="11" borderId="6" xfId="2" applyNumberFormat="1" applyFont="1" applyFill="1" applyBorder="1"/>
    <xf numFmtId="10" fontId="0" fillId="12" borderId="6" xfId="2" applyNumberFormat="1" applyFont="1" applyFill="1" applyBorder="1"/>
    <xf numFmtId="10" fontId="0" fillId="0" borderId="9" xfId="0" applyNumberFormat="1" applyBorder="1"/>
    <xf numFmtId="10" fontId="0" fillId="0" borderId="0" xfId="0" applyNumberFormat="1"/>
    <xf numFmtId="0" fontId="0" fillId="13" borderId="1" xfId="0" applyFill="1" applyBorder="1" applyAlignment="1">
      <alignment wrapText="1"/>
    </xf>
    <xf numFmtId="0" fontId="0" fillId="9" borderId="1" xfId="0" applyFill="1" applyBorder="1" applyAlignment="1">
      <alignment wrapText="1"/>
    </xf>
    <xf numFmtId="0" fontId="0" fillId="14" borderId="1" xfId="0" applyFill="1" applyBorder="1" applyAlignment="1">
      <alignment wrapText="1"/>
    </xf>
    <xf numFmtId="0" fontId="0" fillId="12" borderId="0" xfId="0" applyFill="1"/>
    <xf numFmtId="0" fontId="0" fillId="0" borderId="13" xfId="0" applyBorder="1"/>
    <xf numFmtId="0" fontId="0" fillId="14" borderId="0" xfId="0" applyFill="1"/>
    <xf numFmtId="0" fontId="0" fillId="9" borderId="0" xfId="0" applyFill="1"/>
    <xf numFmtId="0" fontId="0" fillId="13" borderId="0" xfId="0" applyFill="1"/>
    <xf numFmtId="10" fontId="0" fillId="0" borderId="13" xfId="0" applyNumberFormat="1" applyBorder="1"/>
    <xf numFmtId="0" fontId="0" fillId="0" borderId="0" xfId="0" applyFill="1"/>
    <xf numFmtId="43" fontId="0" fillId="9" borderId="5" xfId="0" applyNumberFormat="1" applyFill="1" applyBorder="1"/>
    <xf numFmtId="0" fontId="0" fillId="0" borderId="0" xfId="0" applyAlignment="1">
      <alignment wrapText="1"/>
    </xf>
    <xf numFmtId="0" fontId="0" fillId="0" borderId="15" xfId="0" applyBorder="1" applyAlignment="1">
      <alignment wrapText="1"/>
    </xf>
    <xf numFmtId="0" fontId="0" fillId="0" borderId="16" xfId="0" applyBorder="1" applyAlignment="1">
      <alignment wrapText="1"/>
    </xf>
    <xf numFmtId="0" fontId="0" fillId="0" borderId="6" xfId="0" applyBorder="1"/>
    <xf numFmtId="43" fontId="0" fillId="0" borderId="10" xfId="1" applyFont="1" applyBorder="1"/>
    <xf numFmtId="43" fontId="0" fillId="0" borderId="10" xfId="1" applyFont="1" applyFill="1" applyBorder="1"/>
    <xf numFmtId="0" fontId="0" fillId="0" borderId="10" xfId="0" applyBorder="1"/>
    <xf numFmtId="43" fontId="0" fillId="0" borderId="12" xfId="1" applyFont="1" applyBorder="1"/>
    <xf numFmtId="0" fontId="0" fillId="0" borderId="17" xfId="0" applyBorder="1"/>
    <xf numFmtId="43" fontId="0" fillId="0" borderId="18" xfId="0" applyNumberFormat="1" applyBorder="1"/>
    <xf numFmtId="0" fontId="0" fillId="0" borderId="19" xfId="0" applyBorder="1" applyAlignment="1">
      <alignment wrapText="1"/>
    </xf>
    <xf numFmtId="43" fontId="0" fillId="0" borderId="20" xfId="1" applyFont="1" applyFill="1" applyBorder="1"/>
    <xf numFmtId="43" fontId="0" fillId="0" borderId="22" xfId="0" applyNumberFormat="1" applyBorder="1"/>
    <xf numFmtId="0" fontId="0" fillId="0" borderId="22" xfId="0" applyBorder="1"/>
    <xf numFmtId="43" fontId="0" fillId="0" borderId="17" xfId="0" applyNumberFormat="1" applyBorder="1"/>
    <xf numFmtId="43" fontId="0" fillId="0" borderId="23" xfId="1" applyFont="1" applyBorder="1"/>
    <xf numFmtId="43" fontId="0" fillId="0" borderId="24" xfId="1" applyFont="1" applyBorder="1"/>
    <xf numFmtId="43" fontId="0" fillId="0" borderId="26" xfId="0" applyNumberFormat="1" applyBorder="1"/>
    <xf numFmtId="0" fontId="0" fillId="0" borderId="27" xfId="0" applyBorder="1" applyAlignment="1">
      <alignment wrapText="1"/>
    </xf>
    <xf numFmtId="0" fontId="0" fillId="0" borderId="28" xfId="0" applyBorder="1" applyAlignment="1">
      <alignment wrapText="1"/>
    </xf>
    <xf numFmtId="0" fontId="0" fillId="0" borderId="29" xfId="0" applyBorder="1" applyAlignment="1">
      <alignment wrapText="1"/>
    </xf>
    <xf numFmtId="0" fontId="3" fillId="0" borderId="30" xfId="0" applyFont="1" applyBorder="1" applyAlignment="1">
      <alignment wrapText="1"/>
    </xf>
    <xf numFmtId="0" fontId="0" fillId="0" borderId="14" xfId="0" applyBorder="1" applyAlignment="1">
      <alignment wrapText="1"/>
    </xf>
    <xf numFmtId="0" fontId="0" fillId="0" borderId="31" xfId="0" applyBorder="1"/>
    <xf numFmtId="43" fontId="0" fillId="0" borderId="32" xfId="0" applyNumberFormat="1" applyBorder="1"/>
    <xf numFmtId="43" fontId="0" fillId="0" borderId="33" xfId="0" applyNumberFormat="1" applyBorder="1"/>
    <xf numFmtId="43" fontId="0" fillId="9" borderId="2" xfId="0" applyNumberFormat="1" applyFill="1" applyBorder="1"/>
    <xf numFmtId="43" fontId="0" fillId="0" borderId="6" xfId="0" applyNumberFormat="1" applyBorder="1"/>
    <xf numFmtId="43" fontId="0" fillId="0" borderId="6" xfId="0" applyNumberFormat="1" applyBorder="1" applyAlignment="1">
      <alignment wrapText="1"/>
    </xf>
    <xf numFmtId="43" fontId="0" fillId="9" borderId="22" xfId="0" applyNumberFormat="1" applyFill="1" applyBorder="1"/>
    <xf numFmtId="43" fontId="0" fillId="0" borderId="22" xfId="0" applyNumberFormat="1" applyFill="1" applyBorder="1"/>
    <xf numFmtId="43" fontId="0" fillId="0" borderId="16" xfId="1" applyFont="1" applyBorder="1"/>
    <xf numFmtId="0" fontId="0" fillId="4" borderId="0" xfId="0" applyFill="1" applyBorder="1" applyAlignment="1">
      <alignment wrapText="1"/>
    </xf>
    <xf numFmtId="10" fontId="0" fillId="0" borderId="0" xfId="2" applyNumberFormat="1" applyFont="1"/>
    <xf numFmtId="10" fontId="3" fillId="6" borderId="0" xfId="2" applyNumberFormat="1" applyFont="1" applyFill="1"/>
    <xf numFmtId="10" fontId="0" fillId="0" borderId="36" xfId="2" applyNumberFormat="1" applyFont="1" applyBorder="1" applyAlignment="1">
      <alignment wrapText="1"/>
    </xf>
    <xf numFmtId="10" fontId="0" fillId="4" borderId="0" xfId="2" applyNumberFormat="1" applyFont="1" applyFill="1" applyBorder="1" applyAlignment="1">
      <alignment wrapText="1"/>
    </xf>
    <xf numFmtId="43" fontId="0" fillId="15" borderId="3" xfId="0" applyNumberFormat="1" applyFill="1" applyBorder="1"/>
    <xf numFmtId="43" fontId="0" fillId="15" borderId="1" xfId="0" applyNumberFormat="1" applyFill="1" applyBorder="1"/>
    <xf numFmtId="0" fontId="0" fillId="15" borderId="1" xfId="0" applyFill="1" applyBorder="1"/>
    <xf numFmtId="43" fontId="0" fillId="9" borderId="4" xfId="0" applyNumberFormat="1" applyFill="1" applyBorder="1"/>
    <xf numFmtId="43" fontId="0" fillId="9" borderId="6" xfId="0" applyNumberFormat="1" applyFill="1" applyBorder="1"/>
    <xf numFmtId="10" fontId="0" fillId="2" borderId="10" xfId="2" applyNumberFormat="1" applyFont="1" applyFill="1" applyBorder="1"/>
    <xf numFmtId="10" fontId="0" fillId="11" borderId="10" xfId="2" applyNumberFormat="1" applyFont="1" applyFill="1" applyBorder="1"/>
    <xf numFmtId="10" fontId="0" fillId="12" borderId="10" xfId="2" applyNumberFormat="1" applyFont="1" applyFill="1" applyBorder="1"/>
    <xf numFmtId="10" fontId="0" fillId="15" borderId="1" xfId="2" applyNumberFormat="1" applyFont="1" applyFill="1" applyBorder="1" applyAlignment="1">
      <alignment wrapText="1"/>
    </xf>
    <xf numFmtId="43" fontId="0" fillId="15" borderId="1" xfId="1" applyFont="1" applyFill="1" applyBorder="1"/>
    <xf numFmtId="0" fontId="0" fillId="0" borderId="37" xfId="0" applyBorder="1"/>
    <xf numFmtId="10" fontId="0" fillId="0" borderId="37" xfId="2" applyNumberFormat="1" applyFont="1" applyBorder="1"/>
    <xf numFmtId="43" fontId="0" fillId="0" borderId="32" xfId="1" applyFont="1" applyBorder="1"/>
    <xf numFmtId="43" fontId="0" fillId="0" borderId="38" xfId="0" applyNumberFormat="1" applyBorder="1"/>
    <xf numFmtId="43" fontId="0" fillId="0" borderId="39" xfId="0" applyNumberFormat="1" applyBorder="1"/>
    <xf numFmtId="0" fontId="0" fillId="15" borderId="2" xfId="0" applyFill="1" applyBorder="1" applyAlignment="1">
      <alignment wrapText="1"/>
    </xf>
    <xf numFmtId="10" fontId="0" fillId="15" borderId="3" xfId="2" applyNumberFormat="1" applyFont="1" applyFill="1" applyBorder="1" applyAlignment="1">
      <alignment wrapText="1"/>
    </xf>
    <xf numFmtId="43" fontId="0" fillId="15" borderId="3" xfId="1" applyFont="1" applyFill="1" applyBorder="1"/>
    <xf numFmtId="0" fontId="0" fillId="15" borderId="5" xfId="0" applyFill="1" applyBorder="1" applyAlignment="1">
      <alignment wrapText="1"/>
    </xf>
    <xf numFmtId="43" fontId="0" fillId="15" borderId="8" xfId="1" applyFont="1" applyFill="1" applyBorder="1"/>
    <xf numFmtId="0" fontId="0" fillId="15" borderId="8" xfId="0" applyFill="1" applyBorder="1"/>
    <xf numFmtId="10" fontId="0" fillId="3" borderId="1" xfId="2" applyNumberFormat="1" applyFont="1" applyFill="1" applyBorder="1" applyAlignment="1">
      <alignment wrapText="1"/>
    </xf>
    <xf numFmtId="10" fontId="0" fillId="3" borderId="8" xfId="2" applyNumberFormat="1" applyFont="1" applyFill="1" applyBorder="1" applyAlignment="1">
      <alignment wrapText="1"/>
    </xf>
    <xf numFmtId="43" fontId="0" fillId="15" borderId="11" xfId="0" applyNumberFormat="1" applyFill="1" applyBorder="1"/>
    <xf numFmtId="43" fontId="0" fillId="15" borderId="10" xfId="0" applyNumberFormat="1" applyFill="1" applyBorder="1"/>
    <xf numFmtId="43" fontId="0" fillId="15" borderId="12" xfId="0" applyNumberFormat="1" applyFill="1" applyBorder="1"/>
    <xf numFmtId="43" fontId="0" fillId="9" borderId="35" xfId="0" applyNumberFormat="1" applyFill="1" applyBorder="1"/>
    <xf numFmtId="43" fontId="0" fillId="0" borderId="40" xfId="0" applyNumberFormat="1" applyBorder="1"/>
    <xf numFmtId="43" fontId="0" fillId="9" borderId="4" xfId="0" applyNumberFormat="1" applyFill="1" applyBorder="1" applyAlignment="1">
      <alignment wrapText="1"/>
    </xf>
    <xf numFmtId="0" fontId="0" fillId="9" borderId="5" xfId="0" applyFill="1" applyBorder="1"/>
    <xf numFmtId="0" fontId="0" fillId="9" borderId="6" xfId="0" applyFill="1" applyBorder="1"/>
    <xf numFmtId="0" fontId="0" fillId="9" borderId="6" xfId="0" applyFill="1" applyBorder="1" applyAlignment="1">
      <alignment wrapText="1"/>
    </xf>
    <xf numFmtId="0" fontId="0" fillId="9" borderId="7" xfId="0" applyFill="1" applyBorder="1"/>
    <xf numFmtId="0" fontId="0" fillId="9" borderId="9" xfId="0" applyFill="1" applyBorder="1"/>
    <xf numFmtId="43" fontId="0" fillId="9" borderId="34" xfId="0" applyNumberFormat="1" applyFill="1" applyBorder="1"/>
    <xf numFmtId="0" fontId="0" fillId="9" borderId="9" xfId="0" applyFill="1" applyBorder="1" applyAlignment="1">
      <alignment wrapText="1"/>
    </xf>
    <xf numFmtId="0" fontId="0" fillId="9" borderId="5" xfId="0" applyFill="1" applyBorder="1" applyAlignment="1">
      <alignment wrapText="1"/>
    </xf>
    <xf numFmtId="43" fontId="3" fillId="9" borderId="0" xfId="1" applyFont="1" applyFill="1"/>
    <xf numFmtId="43" fontId="0" fillId="0" borderId="14" xfId="1" applyFont="1" applyBorder="1"/>
    <xf numFmtId="43" fontId="0" fillId="0" borderId="25" xfId="1" applyFont="1" applyBorder="1"/>
    <xf numFmtId="43" fontId="0" fillId="0" borderId="20" xfId="1" applyFont="1" applyBorder="1"/>
    <xf numFmtId="43" fontId="0" fillId="0" borderId="21" xfId="1" applyFont="1" applyBorder="1"/>
    <xf numFmtId="0" fontId="0" fillId="4" borderId="7" xfId="0" applyFill="1" applyBorder="1" applyAlignment="1">
      <alignment wrapText="1"/>
    </xf>
    <xf numFmtId="10" fontId="0" fillId="3" borderId="0" xfId="2" applyNumberFormat="1" applyFont="1" applyFill="1"/>
  </cellXfs>
  <cellStyles count="3">
    <cellStyle name="Navadno" xfId="0" builtinId="0"/>
    <cellStyle name="Odstotek" xfId="2" builtinId="5"/>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0"/>
  <sheetViews>
    <sheetView workbookViewId="0">
      <selection activeCell="O6" sqref="O6"/>
    </sheetView>
  </sheetViews>
  <sheetFormatPr defaultRowHeight="15" x14ac:dyDescent="0.25"/>
  <cols>
    <col min="1" max="1" width="13.28515625" customWidth="1"/>
    <col min="2" max="2" width="16.85546875" customWidth="1"/>
    <col min="3" max="3" width="19.140625" customWidth="1"/>
    <col min="4" max="4" width="25.5703125" customWidth="1"/>
    <col min="5" max="5" width="29.140625" customWidth="1"/>
    <col min="6" max="6" width="11.28515625" bestFit="1" customWidth="1"/>
    <col min="8" max="8" width="9.140625" style="59"/>
  </cols>
  <sheetData>
    <row r="2" spans="1:8" s="13" customFormat="1" ht="15.75" x14ac:dyDescent="0.25">
      <c r="A2" s="13" t="s">
        <v>49</v>
      </c>
      <c r="H2" s="53"/>
    </row>
    <row r="3" spans="1:8" s="13" customFormat="1" ht="16.5" thickBot="1" x14ac:dyDescent="0.3">
      <c r="A3" s="13" t="s">
        <v>6</v>
      </c>
      <c r="H3" s="53"/>
    </row>
    <row r="4" spans="1:8" ht="90" x14ac:dyDescent="0.25">
      <c r="A4" s="12" t="s">
        <v>8</v>
      </c>
      <c r="B4" s="10" t="s">
        <v>3</v>
      </c>
      <c r="C4" s="10" t="s">
        <v>4</v>
      </c>
      <c r="D4" s="10" t="s">
        <v>1</v>
      </c>
      <c r="E4" s="39" t="s">
        <v>37</v>
      </c>
      <c r="F4" s="10" t="s">
        <v>0</v>
      </c>
      <c r="G4" s="11" t="s">
        <v>2</v>
      </c>
      <c r="H4" s="54" t="s">
        <v>7</v>
      </c>
    </row>
    <row r="5" spans="1:8" ht="90" x14ac:dyDescent="0.25">
      <c r="A5" s="7" t="s">
        <v>50</v>
      </c>
      <c r="B5" s="6" t="s">
        <v>54</v>
      </c>
      <c r="C5" s="5" t="s">
        <v>51</v>
      </c>
      <c r="D5" s="6" t="s">
        <v>87</v>
      </c>
      <c r="E5" s="6" t="s">
        <v>90</v>
      </c>
      <c r="F5" s="6" t="s">
        <v>52</v>
      </c>
      <c r="G5" s="5">
        <v>335</v>
      </c>
      <c r="H5" s="55">
        <f>G5/G15</f>
        <v>0.11413969335604771</v>
      </c>
    </row>
    <row r="6" spans="1:8" ht="105" x14ac:dyDescent="0.25">
      <c r="A6" s="7" t="s">
        <v>53</v>
      </c>
      <c r="B6" s="6" t="s">
        <v>99</v>
      </c>
      <c r="C6" s="5" t="s">
        <v>55</v>
      </c>
      <c r="D6" s="6" t="s">
        <v>88</v>
      </c>
      <c r="E6" s="6" t="s">
        <v>91</v>
      </c>
      <c r="F6" s="6" t="s">
        <v>52</v>
      </c>
      <c r="G6" s="5">
        <v>590</v>
      </c>
      <c r="H6" s="55">
        <f>G6/G15</f>
        <v>0.20102214650766609</v>
      </c>
    </row>
    <row r="7" spans="1:8" ht="165" x14ac:dyDescent="0.25">
      <c r="A7" s="47" t="s">
        <v>56</v>
      </c>
      <c r="B7" s="48" t="s">
        <v>58</v>
      </c>
      <c r="C7" s="38" t="s">
        <v>57</v>
      </c>
      <c r="D7" s="48" t="s">
        <v>71</v>
      </c>
      <c r="E7" s="48" t="s">
        <v>92</v>
      </c>
      <c r="F7" s="48" t="s">
        <v>72</v>
      </c>
      <c r="G7" s="38">
        <v>440</v>
      </c>
      <c r="H7" s="56">
        <f>G7/G15</f>
        <v>0.14991482112436116</v>
      </c>
    </row>
    <row r="8" spans="1:8" ht="75" x14ac:dyDescent="0.25">
      <c r="A8" s="52" t="s">
        <v>59</v>
      </c>
      <c r="B8" s="48" t="s">
        <v>80</v>
      </c>
      <c r="C8" s="38" t="s">
        <v>57</v>
      </c>
      <c r="D8" s="48" t="s">
        <v>93</v>
      </c>
      <c r="E8" s="48" t="s">
        <v>89</v>
      </c>
      <c r="F8" s="48" t="s">
        <v>72</v>
      </c>
      <c r="G8" s="38">
        <v>980</v>
      </c>
      <c r="H8" s="56">
        <f>G8/G15</f>
        <v>0.33390119250425893</v>
      </c>
    </row>
    <row r="9" spans="1:8" ht="90" x14ac:dyDescent="0.25">
      <c r="A9" s="52" t="s">
        <v>60</v>
      </c>
      <c r="B9" s="48" t="s">
        <v>73</v>
      </c>
      <c r="C9" s="48" t="s">
        <v>84</v>
      </c>
      <c r="D9" s="48" t="s">
        <v>78</v>
      </c>
      <c r="E9" s="48" t="s">
        <v>79</v>
      </c>
      <c r="F9" s="48" t="s">
        <v>72</v>
      </c>
      <c r="G9" s="38">
        <v>210</v>
      </c>
      <c r="H9" s="56">
        <f>G9/G15</f>
        <v>7.1550255536626917E-2</v>
      </c>
    </row>
    <row r="10" spans="1:8" ht="150" x14ac:dyDescent="0.25">
      <c r="A10" s="47" t="s">
        <v>62</v>
      </c>
      <c r="B10" s="48" t="s">
        <v>81</v>
      </c>
      <c r="C10" s="48" t="s">
        <v>84</v>
      </c>
      <c r="D10" s="48" t="s">
        <v>71</v>
      </c>
      <c r="E10" s="48" t="s">
        <v>82</v>
      </c>
      <c r="F10" s="48" t="s">
        <v>72</v>
      </c>
      <c r="G10" s="38">
        <v>220</v>
      </c>
      <c r="H10" s="56">
        <f>G10/G15</f>
        <v>7.4957410562180582E-2</v>
      </c>
    </row>
    <row r="11" spans="1:8" ht="75" x14ac:dyDescent="0.25">
      <c r="A11" s="52" t="s">
        <v>63</v>
      </c>
      <c r="B11" s="48" t="s">
        <v>83</v>
      </c>
      <c r="C11" s="48" t="s">
        <v>84</v>
      </c>
      <c r="D11" s="48" t="s">
        <v>85</v>
      </c>
      <c r="E11" s="48" t="s">
        <v>86</v>
      </c>
      <c r="F11" s="48" t="s">
        <v>72</v>
      </c>
      <c r="G11" s="38">
        <v>160</v>
      </c>
      <c r="H11" s="56">
        <f>G11/G15</f>
        <v>5.4514480408858604E-2</v>
      </c>
    </row>
    <row r="12" spans="1:8" ht="60" x14ac:dyDescent="0.25">
      <c r="A12" s="49" t="s">
        <v>61</v>
      </c>
      <c r="B12" s="51" t="s">
        <v>69</v>
      </c>
      <c r="C12" s="50" t="s">
        <v>57</v>
      </c>
      <c r="D12" s="51" t="s">
        <v>70</v>
      </c>
      <c r="E12" s="51" t="s">
        <v>89</v>
      </c>
      <c r="F12" s="51" t="s">
        <v>66</v>
      </c>
      <c r="G12" s="50">
        <v>0</v>
      </c>
      <c r="H12" s="57">
        <f>G12/G15</f>
        <v>0</v>
      </c>
    </row>
    <row r="13" spans="1:8" ht="75" x14ac:dyDescent="0.25">
      <c r="A13" s="49" t="s">
        <v>64</v>
      </c>
      <c r="B13" s="51" t="s">
        <v>74</v>
      </c>
      <c r="C13" s="50" t="s">
        <v>57</v>
      </c>
      <c r="D13" s="51" t="s">
        <v>75</v>
      </c>
      <c r="E13" s="51" t="s">
        <v>89</v>
      </c>
      <c r="F13" s="51" t="s">
        <v>67</v>
      </c>
      <c r="G13" s="50">
        <v>0</v>
      </c>
      <c r="H13" s="57">
        <f>G13/G15</f>
        <v>0</v>
      </c>
    </row>
    <row r="14" spans="1:8" ht="60" x14ac:dyDescent="0.25">
      <c r="A14" s="49" t="s">
        <v>65</v>
      </c>
      <c r="B14" s="51" t="s">
        <v>76</v>
      </c>
      <c r="C14" s="50" t="s">
        <v>57</v>
      </c>
      <c r="D14" s="51" t="s">
        <v>77</v>
      </c>
      <c r="E14" s="51" t="s">
        <v>89</v>
      </c>
      <c r="F14" s="51" t="s">
        <v>68</v>
      </c>
      <c r="G14" s="50">
        <v>0</v>
      </c>
      <c r="H14" s="57">
        <f>G14/G15</f>
        <v>0</v>
      </c>
    </row>
    <row r="15" spans="1:8" ht="15.75" thickBot="1" x14ac:dyDescent="0.3">
      <c r="A15" s="8"/>
      <c r="B15" s="9"/>
      <c r="C15" s="9"/>
      <c r="D15" s="9"/>
      <c r="E15" s="9"/>
      <c r="F15" s="9" t="s">
        <v>9</v>
      </c>
      <c r="G15" s="9">
        <f>SUM(G5:G14)</f>
        <v>2935</v>
      </c>
      <c r="H15" s="58">
        <f>SUM(H5:H14)</f>
        <v>1.0000000000000002</v>
      </c>
    </row>
    <row r="17" spans="1:3" x14ac:dyDescent="0.25">
      <c r="A17" s="59">
        <f>H6+H5</f>
        <v>0.31516183986371382</v>
      </c>
      <c r="B17" s="2"/>
      <c r="C17" t="s">
        <v>94</v>
      </c>
    </row>
    <row r="18" spans="1:3" x14ac:dyDescent="0.25">
      <c r="A18" s="59">
        <f>H11+H10+H9+H8+H7</f>
        <v>0.68483816013628618</v>
      </c>
      <c r="B18" s="3"/>
      <c r="C18" t="s">
        <v>95</v>
      </c>
    </row>
    <row r="19" spans="1:3" x14ac:dyDescent="0.25">
      <c r="A19" s="64">
        <v>0</v>
      </c>
      <c r="B19" s="63"/>
      <c r="C19" t="s">
        <v>96</v>
      </c>
    </row>
    <row r="20" spans="1:3" x14ac:dyDescent="0.25">
      <c r="A20" s="59">
        <f>SUM(A17:A19)</f>
        <v>1</v>
      </c>
    </row>
  </sheetData>
  <pageMargins left="0.7" right="0.7" top="0.75" bottom="0.75" header="0.3" footer="0.3"/>
  <pageSetup paperSize="8"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I23"/>
  <sheetViews>
    <sheetView tabSelected="1" workbookViewId="0">
      <selection activeCell="A2" sqref="A2:G20"/>
    </sheetView>
  </sheetViews>
  <sheetFormatPr defaultRowHeight="15" x14ac:dyDescent="0.25"/>
  <cols>
    <col min="1" max="1" width="13.28515625" customWidth="1"/>
    <col min="2" max="2" width="26.7109375" customWidth="1"/>
    <col min="3" max="3" width="18.7109375" customWidth="1"/>
    <col min="4" max="4" width="21.85546875" customWidth="1"/>
    <col min="5" max="5" width="16.7109375" customWidth="1"/>
    <col min="6" max="6" width="9.42578125" style="1" bestFit="1" customWidth="1"/>
    <col min="7" max="7" width="14.42578125" bestFit="1" customWidth="1"/>
    <col min="8" max="8" width="13.5703125" style="16" customWidth="1"/>
    <col min="9" max="9" width="12" style="16" bestFit="1" customWidth="1"/>
    <col min="10" max="10" width="13.140625" bestFit="1" customWidth="1"/>
  </cols>
  <sheetData>
    <row r="2" spans="1:9" s="13" customFormat="1" ht="15.75" x14ac:dyDescent="0.25">
      <c r="A2" s="13" t="s">
        <v>49</v>
      </c>
      <c r="F2" s="17"/>
      <c r="H2" s="15"/>
      <c r="I2" s="15"/>
    </row>
    <row r="3" spans="1:9" s="13" customFormat="1" ht="16.5" thickBot="1" x14ac:dyDescent="0.3">
      <c r="A3" s="13" t="s">
        <v>42</v>
      </c>
      <c r="F3" s="17"/>
      <c r="H3" s="15"/>
      <c r="I3" s="15"/>
    </row>
    <row r="4" spans="1:9" ht="90" x14ac:dyDescent="0.25">
      <c r="A4" s="12" t="s">
        <v>8</v>
      </c>
      <c r="B4" s="10" t="s">
        <v>3</v>
      </c>
      <c r="C4" s="10" t="s">
        <v>4</v>
      </c>
      <c r="D4" s="10" t="s">
        <v>1</v>
      </c>
      <c r="E4" s="10" t="s">
        <v>0</v>
      </c>
      <c r="F4" s="11" t="s">
        <v>2</v>
      </c>
      <c r="G4" s="54" t="s">
        <v>7</v>
      </c>
      <c r="H4"/>
      <c r="I4"/>
    </row>
    <row r="5" spans="1:9" ht="105" x14ac:dyDescent="0.25">
      <c r="A5" s="7" t="s">
        <v>50</v>
      </c>
      <c r="B5" s="6" t="s">
        <v>54</v>
      </c>
      <c r="C5" s="5" t="s">
        <v>51</v>
      </c>
      <c r="D5" s="61" t="s">
        <v>87</v>
      </c>
      <c r="E5" s="6" t="s">
        <v>52</v>
      </c>
      <c r="F5" s="5">
        <v>335</v>
      </c>
      <c r="G5" s="55">
        <f>F5/F15</f>
        <v>0.11413969335604771</v>
      </c>
      <c r="H5"/>
      <c r="I5"/>
    </row>
    <row r="6" spans="1:9" ht="105" x14ac:dyDescent="0.25">
      <c r="A6" s="7" t="s">
        <v>53</v>
      </c>
      <c r="B6" s="6" t="s">
        <v>99</v>
      </c>
      <c r="C6" s="5" t="s">
        <v>55</v>
      </c>
      <c r="D6" s="62" t="s">
        <v>88</v>
      </c>
      <c r="E6" s="6" t="s">
        <v>52</v>
      </c>
      <c r="F6" s="5">
        <v>590</v>
      </c>
      <c r="G6" s="55">
        <f>F6/F15</f>
        <v>0.20102214650766609</v>
      </c>
      <c r="H6"/>
      <c r="I6"/>
    </row>
    <row r="7" spans="1:9" ht="90" x14ac:dyDescent="0.25">
      <c r="A7" s="47" t="s">
        <v>56</v>
      </c>
      <c r="B7" s="48" t="s">
        <v>58</v>
      </c>
      <c r="C7" s="38" t="s">
        <v>57</v>
      </c>
      <c r="D7" s="61" t="s">
        <v>71</v>
      </c>
      <c r="E7" s="48" t="s">
        <v>72</v>
      </c>
      <c r="F7" s="38">
        <v>440</v>
      </c>
      <c r="G7" s="56">
        <f>F7/F15</f>
        <v>0.14991482112436116</v>
      </c>
      <c r="H7"/>
      <c r="I7"/>
    </row>
    <row r="8" spans="1:9" ht="90" x14ac:dyDescent="0.25">
      <c r="A8" s="52" t="s">
        <v>59</v>
      </c>
      <c r="B8" s="48" t="s">
        <v>80</v>
      </c>
      <c r="C8" s="38" t="s">
        <v>57</v>
      </c>
      <c r="D8" s="60" t="s">
        <v>93</v>
      </c>
      <c r="E8" s="48" t="s">
        <v>72</v>
      </c>
      <c r="F8" s="38">
        <v>980</v>
      </c>
      <c r="G8" s="56">
        <f>F8/F15</f>
        <v>0.33390119250425893</v>
      </c>
      <c r="H8"/>
      <c r="I8"/>
    </row>
    <row r="9" spans="1:9" ht="75" x14ac:dyDescent="0.25">
      <c r="A9" s="52" t="s">
        <v>60</v>
      </c>
      <c r="B9" s="48" t="s">
        <v>73</v>
      </c>
      <c r="C9" s="48" t="s">
        <v>84</v>
      </c>
      <c r="D9" s="62" t="s">
        <v>78</v>
      </c>
      <c r="E9" s="48" t="s">
        <v>72</v>
      </c>
      <c r="F9" s="38">
        <v>210</v>
      </c>
      <c r="G9" s="56">
        <f>F9/F15</f>
        <v>7.1550255536626917E-2</v>
      </c>
      <c r="H9"/>
      <c r="I9"/>
    </row>
    <row r="10" spans="1:9" ht="90" x14ac:dyDescent="0.25">
      <c r="A10" s="47" t="s">
        <v>62</v>
      </c>
      <c r="B10" s="48" t="s">
        <v>81</v>
      </c>
      <c r="C10" s="48" t="s">
        <v>84</v>
      </c>
      <c r="D10" s="61" t="s">
        <v>71</v>
      </c>
      <c r="E10" s="48" t="s">
        <v>72</v>
      </c>
      <c r="F10" s="38">
        <v>220</v>
      </c>
      <c r="G10" s="56">
        <f>F10/F15</f>
        <v>7.4957410562180582E-2</v>
      </c>
      <c r="H10"/>
      <c r="I10"/>
    </row>
    <row r="11" spans="1:9" ht="75" x14ac:dyDescent="0.25">
      <c r="A11" s="52" t="s">
        <v>63</v>
      </c>
      <c r="B11" s="48" t="s">
        <v>83</v>
      </c>
      <c r="C11" s="48" t="s">
        <v>84</v>
      </c>
      <c r="D11" s="61" t="s">
        <v>85</v>
      </c>
      <c r="E11" s="48" t="s">
        <v>72</v>
      </c>
      <c r="F11" s="38">
        <v>160</v>
      </c>
      <c r="G11" s="56">
        <f>F11/F15</f>
        <v>5.4514480408858604E-2</v>
      </c>
      <c r="H11"/>
      <c r="I11"/>
    </row>
    <row r="12" spans="1:9" ht="30" x14ac:dyDescent="0.25">
      <c r="A12" s="49" t="s">
        <v>61</v>
      </c>
      <c r="B12" s="51" t="s">
        <v>69</v>
      </c>
      <c r="C12" s="50" t="s">
        <v>57</v>
      </c>
      <c r="D12" s="51" t="s">
        <v>70</v>
      </c>
      <c r="E12" s="51" t="s">
        <v>66</v>
      </c>
      <c r="F12" s="50">
        <v>0</v>
      </c>
      <c r="G12" s="57">
        <f>F12/F15</f>
        <v>0</v>
      </c>
      <c r="H12"/>
      <c r="I12"/>
    </row>
    <row r="13" spans="1:9" ht="60" x14ac:dyDescent="0.25">
      <c r="A13" s="49" t="s">
        <v>64</v>
      </c>
      <c r="B13" s="51" t="s">
        <v>74</v>
      </c>
      <c r="C13" s="50" t="s">
        <v>57</v>
      </c>
      <c r="D13" s="51" t="s">
        <v>75</v>
      </c>
      <c r="E13" s="51" t="s">
        <v>67</v>
      </c>
      <c r="F13" s="50">
        <v>0</v>
      </c>
      <c r="G13" s="57">
        <f>F13/F15</f>
        <v>0</v>
      </c>
      <c r="H13"/>
      <c r="I13"/>
    </row>
    <row r="14" spans="1:9" ht="45" x14ac:dyDescent="0.25">
      <c r="A14" s="49" t="s">
        <v>65</v>
      </c>
      <c r="B14" s="51" t="s">
        <v>76</v>
      </c>
      <c r="C14" s="50" t="s">
        <v>57</v>
      </c>
      <c r="D14" s="51" t="s">
        <v>77</v>
      </c>
      <c r="E14" s="51" t="s">
        <v>68</v>
      </c>
      <c r="F14" s="50">
        <v>0</v>
      </c>
      <c r="G14" s="57">
        <f>F14/F15</f>
        <v>0</v>
      </c>
      <c r="H14"/>
      <c r="I14"/>
    </row>
    <row r="15" spans="1:9" ht="15.75" thickBot="1" x14ac:dyDescent="0.3">
      <c r="A15" s="8"/>
      <c r="B15" s="9"/>
      <c r="C15" s="9"/>
      <c r="D15" s="9"/>
      <c r="E15" s="9" t="s">
        <v>9</v>
      </c>
      <c r="F15" s="9">
        <f>SUM(F5:F14)</f>
        <v>2935</v>
      </c>
      <c r="G15" s="58">
        <f>SUM(G5:G14)</f>
        <v>1.0000000000000002</v>
      </c>
      <c r="H15"/>
      <c r="I15"/>
    </row>
    <row r="16" spans="1:9" x14ac:dyDescent="0.25">
      <c r="B16" s="10" t="s">
        <v>1</v>
      </c>
      <c r="F16"/>
      <c r="G16" s="59"/>
      <c r="H16"/>
      <c r="I16"/>
    </row>
    <row r="17" spans="1:9" x14ac:dyDescent="0.25">
      <c r="A17" s="59">
        <f>G6+G9</f>
        <v>0.27257240204429301</v>
      </c>
      <c r="B17" s="65"/>
      <c r="C17" t="s">
        <v>5</v>
      </c>
      <c r="F17"/>
      <c r="G17" s="59"/>
      <c r="H17"/>
      <c r="I17"/>
    </row>
    <row r="18" spans="1:9" x14ac:dyDescent="0.25">
      <c r="A18" s="59">
        <f>G11+G10+G7+G5</f>
        <v>0.39352640545144801</v>
      </c>
      <c r="B18" s="66"/>
      <c r="C18" t="s">
        <v>97</v>
      </c>
      <c r="F18"/>
      <c r="G18" s="59"/>
      <c r="H18"/>
      <c r="I18"/>
    </row>
    <row r="19" spans="1:9" x14ac:dyDescent="0.25">
      <c r="A19" s="68">
        <f>G8</f>
        <v>0.33390119250425893</v>
      </c>
      <c r="B19" s="67"/>
      <c r="C19" t="s">
        <v>98</v>
      </c>
      <c r="F19"/>
      <c r="G19" s="59"/>
      <c r="H19"/>
      <c r="I19"/>
    </row>
    <row r="20" spans="1:9" x14ac:dyDescent="0.25">
      <c r="A20" s="59">
        <f>SUM(A17:A19)</f>
        <v>1</v>
      </c>
      <c r="F20"/>
      <c r="G20" s="59"/>
      <c r="H20"/>
      <c r="I20"/>
    </row>
    <row r="21" spans="1:9" x14ac:dyDescent="0.25">
      <c r="F21"/>
      <c r="G21" s="59"/>
    </row>
    <row r="22" spans="1:9" x14ac:dyDescent="0.25">
      <c r="A22" s="1"/>
      <c r="B22" s="69"/>
    </row>
    <row r="23" spans="1:9" x14ac:dyDescent="0.25">
      <c r="A23" s="1"/>
    </row>
  </sheetData>
  <pageMargins left="0.7" right="0.7" top="0.75" bottom="0.75" header="0.3" footer="0.3"/>
  <pageSetup paperSize="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W29"/>
  <sheetViews>
    <sheetView topLeftCell="A13" zoomScale="82" zoomScaleNormal="82" workbookViewId="0">
      <selection activeCell="K17" sqref="K17"/>
    </sheetView>
  </sheetViews>
  <sheetFormatPr defaultRowHeight="15" x14ac:dyDescent="0.25"/>
  <cols>
    <col min="1" max="1" width="13.28515625" customWidth="1"/>
    <col min="2" max="2" width="16.140625" customWidth="1"/>
    <col min="3" max="3" width="20.42578125" customWidth="1"/>
    <col min="4" max="4" width="27.28515625" customWidth="1"/>
    <col min="5" max="5" width="11.28515625" bestFit="1" customWidth="1"/>
    <col min="7" max="7" width="9.42578125" style="1" bestFit="1" customWidth="1"/>
    <col min="8" max="8" width="13.5703125" customWidth="1"/>
    <col min="9" max="9" width="13.5703125" style="104" customWidth="1"/>
    <col min="10" max="10" width="16.28515625" style="16" bestFit="1" customWidth="1"/>
    <col min="11" max="11" width="13.5703125" customWidth="1"/>
    <col min="12" max="12" width="13.140625" bestFit="1" customWidth="1"/>
    <col min="13" max="13" width="16.42578125" customWidth="1"/>
    <col min="14" max="14" width="15.28515625" bestFit="1" customWidth="1"/>
    <col min="15" max="15" width="19.85546875" bestFit="1" customWidth="1"/>
    <col min="16" max="16" width="14.7109375" customWidth="1"/>
    <col min="18" max="18" width="13.140625" bestFit="1" customWidth="1"/>
    <col min="19" max="19" width="12.140625" bestFit="1" customWidth="1"/>
    <col min="20" max="20" width="13.140625" bestFit="1" customWidth="1"/>
    <col min="21" max="21" width="14.7109375" style="16" bestFit="1" customWidth="1"/>
    <col min="22" max="23" width="12.5703125" bestFit="1" customWidth="1"/>
  </cols>
  <sheetData>
    <row r="2" spans="1:23" ht="15.75" x14ac:dyDescent="0.25">
      <c r="A2" s="13" t="s">
        <v>49</v>
      </c>
    </row>
    <row r="3" spans="1:23" ht="16.5" thickBot="1" x14ac:dyDescent="0.3">
      <c r="A3" s="13" t="s">
        <v>46</v>
      </c>
      <c r="H3" s="22" t="s">
        <v>11</v>
      </c>
      <c r="I3" s="105"/>
      <c r="J3" s="23"/>
      <c r="K3" s="22"/>
      <c r="L3" s="22"/>
      <c r="M3" s="24" t="s">
        <v>15</v>
      </c>
      <c r="N3" s="24"/>
      <c r="O3" s="36" t="s">
        <v>40</v>
      </c>
      <c r="P3" s="37"/>
      <c r="Q3" s="21" t="s">
        <v>19</v>
      </c>
      <c r="R3" s="21"/>
      <c r="S3" s="21"/>
      <c r="T3" s="21"/>
      <c r="U3" s="145" t="s">
        <v>26</v>
      </c>
      <c r="V3" s="27" t="s">
        <v>27</v>
      </c>
      <c r="W3" s="28" t="s">
        <v>28</v>
      </c>
    </row>
    <row r="4" spans="1:23" ht="90.75" thickBot="1" x14ac:dyDescent="0.3">
      <c r="A4" s="12" t="s">
        <v>8</v>
      </c>
      <c r="B4" s="10" t="s">
        <v>3</v>
      </c>
      <c r="C4" s="10" t="s">
        <v>4</v>
      </c>
      <c r="D4" s="10" t="s">
        <v>1</v>
      </c>
      <c r="E4" s="10" t="s">
        <v>0</v>
      </c>
      <c r="F4" s="11" t="s">
        <v>2</v>
      </c>
      <c r="G4" s="54" t="s">
        <v>7</v>
      </c>
      <c r="H4" s="72" t="s">
        <v>10</v>
      </c>
      <c r="I4" s="106" t="s">
        <v>113</v>
      </c>
      <c r="J4" s="102" t="s">
        <v>13</v>
      </c>
      <c r="K4" s="73" t="s">
        <v>106</v>
      </c>
      <c r="L4" s="81" t="s">
        <v>14</v>
      </c>
      <c r="M4" s="72" t="s">
        <v>16</v>
      </c>
      <c r="N4" s="81" t="s">
        <v>17</v>
      </c>
      <c r="O4" s="72" t="s">
        <v>102</v>
      </c>
      <c r="P4" s="81"/>
      <c r="Q4" s="89" t="s">
        <v>104</v>
      </c>
      <c r="R4" s="90" t="s">
        <v>20</v>
      </c>
      <c r="S4" s="90" t="s">
        <v>21</v>
      </c>
      <c r="T4" s="91" t="s">
        <v>18</v>
      </c>
      <c r="U4" s="146"/>
      <c r="V4" s="92" t="s">
        <v>38</v>
      </c>
      <c r="W4" s="93" t="s">
        <v>39</v>
      </c>
    </row>
    <row r="5" spans="1:23" ht="90" x14ac:dyDescent="0.25">
      <c r="A5" s="7" t="s">
        <v>50</v>
      </c>
      <c r="B5" s="6" t="s">
        <v>54</v>
      </c>
      <c r="C5" s="5" t="s">
        <v>51</v>
      </c>
      <c r="D5" s="61" t="s">
        <v>87</v>
      </c>
      <c r="E5" s="6" t="s">
        <v>52</v>
      </c>
      <c r="F5" s="5">
        <v>335</v>
      </c>
      <c r="G5" s="113">
        <f>F5/F15</f>
        <v>0.11413969335604771</v>
      </c>
      <c r="H5" s="123" t="s">
        <v>100</v>
      </c>
      <c r="I5" s="124"/>
      <c r="J5" s="125">
        <v>0</v>
      </c>
      <c r="K5" s="108">
        <f>J5*0.6</f>
        <v>0</v>
      </c>
      <c r="L5" s="131">
        <f>J5*0.4</f>
        <v>0</v>
      </c>
      <c r="M5" s="97">
        <v>0</v>
      </c>
      <c r="N5" s="111">
        <f>M5*F6</f>
        <v>0</v>
      </c>
      <c r="O5" s="134"/>
      <c r="P5" s="136"/>
      <c r="Q5" s="94">
        <v>0</v>
      </c>
      <c r="R5" s="86">
        <f>Q5*4</f>
        <v>0</v>
      </c>
      <c r="S5" s="86">
        <v>0</v>
      </c>
      <c r="T5" s="87">
        <f>R5+S5</f>
        <v>0</v>
      </c>
      <c r="U5" s="147">
        <v>0</v>
      </c>
      <c r="V5" s="88">
        <f>N5*0.03</f>
        <v>0</v>
      </c>
      <c r="W5" s="88">
        <f>N5*0.01</f>
        <v>0</v>
      </c>
    </row>
    <row r="6" spans="1:23" ht="90" x14ac:dyDescent="0.25">
      <c r="A6" s="7" t="s">
        <v>53</v>
      </c>
      <c r="B6" s="6" t="s">
        <v>99</v>
      </c>
      <c r="C6" s="5" t="s">
        <v>55</v>
      </c>
      <c r="D6" s="62" t="s">
        <v>88</v>
      </c>
      <c r="E6" s="6" t="s">
        <v>52</v>
      </c>
      <c r="F6" s="5">
        <v>590</v>
      </c>
      <c r="G6" s="113">
        <f>F6/F15</f>
        <v>0.20102214650766609</v>
      </c>
      <c r="H6" s="126" t="s">
        <v>100</v>
      </c>
      <c r="I6" s="116"/>
      <c r="J6" s="117">
        <v>0</v>
      </c>
      <c r="K6" s="109">
        <f>J6*0.5</f>
        <v>0</v>
      </c>
      <c r="L6" s="132">
        <f>J6*0.5</f>
        <v>0</v>
      </c>
      <c r="M6" s="70">
        <v>0</v>
      </c>
      <c r="N6" s="112">
        <f>M6*F7</f>
        <v>0</v>
      </c>
      <c r="O6" s="100"/>
      <c r="P6" s="112"/>
      <c r="Q6" s="84">
        <v>0</v>
      </c>
      <c r="R6" s="25">
        <v>0</v>
      </c>
      <c r="S6" s="44">
        <v>0</v>
      </c>
      <c r="T6" s="75">
        <f t="shared" ref="T6:T10" si="0">R6+S6</f>
        <v>0</v>
      </c>
      <c r="U6" s="82">
        <v>0</v>
      </c>
      <c r="V6" s="85">
        <f t="shared" ref="V6" si="1">N6*0.03</f>
        <v>0</v>
      </c>
      <c r="W6" s="85">
        <f t="shared" ref="W6" si="2">N6*0.01</f>
        <v>0</v>
      </c>
    </row>
    <row r="7" spans="1:23" ht="75" x14ac:dyDescent="0.25">
      <c r="A7" s="47" t="s">
        <v>56</v>
      </c>
      <c r="B7" s="48" t="s">
        <v>58</v>
      </c>
      <c r="C7" s="38" t="s">
        <v>57</v>
      </c>
      <c r="D7" s="61" t="s">
        <v>71</v>
      </c>
      <c r="E7" s="48" t="s">
        <v>72</v>
      </c>
      <c r="F7" s="38">
        <v>440</v>
      </c>
      <c r="G7" s="114">
        <f>F7/F15</f>
        <v>0.14991482112436116</v>
      </c>
      <c r="H7" s="41" t="s">
        <v>101</v>
      </c>
      <c r="I7" s="129">
        <f>440/2010</f>
        <v>0.21890547263681592</v>
      </c>
      <c r="J7" s="117">
        <v>0</v>
      </c>
      <c r="K7" s="110">
        <v>0</v>
      </c>
      <c r="L7" s="132">
        <v>0</v>
      </c>
      <c r="M7" s="43">
        <v>800</v>
      </c>
      <c r="N7" s="98">
        <f>M7*F7</f>
        <v>352000</v>
      </c>
      <c r="O7" s="83">
        <v>44000</v>
      </c>
      <c r="P7" s="98"/>
      <c r="Q7" s="84">
        <v>0</v>
      </c>
      <c r="R7" s="25"/>
      <c r="S7" s="25">
        <f>Q7*13</f>
        <v>0</v>
      </c>
      <c r="T7" s="75">
        <f t="shared" si="0"/>
        <v>0</v>
      </c>
      <c r="U7" s="148">
        <v>20000</v>
      </c>
      <c r="V7" s="85">
        <f>N7*0.03</f>
        <v>10560</v>
      </c>
      <c r="W7" s="85">
        <f>N7*0.01</f>
        <v>3520</v>
      </c>
    </row>
    <row r="8" spans="1:23" ht="75" x14ac:dyDescent="0.25">
      <c r="A8" s="52" t="s">
        <v>59</v>
      </c>
      <c r="B8" s="48" t="s">
        <v>80</v>
      </c>
      <c r="C8" s="38" t="s">
        <v>57</v>
      </c>
      <c r="D8" s="60" t="s">
        <v>93</v>
      </c>
      <c r="E8" s="48" t="s">
        <v>72</v>
      </c>
      <c r="F8" s="38">
        <v>980</v>
      </c>
      <c r="G8" s="114">
        <f>F8/F15</f>
        <v>0.33390119250425893</v>
      </c>
      <c r="H8" s="41" t="s">
        <v>101</v>
      </c>
      <c r="I8" s="129">
        <f>F8/2010</f>
        <v>0.48756218905472637</v>
      </c>
      <c r="J8" s="117">
        <v>0</v>
      </c>
      <c r="K8" s="109">
        <v>0</v>
      </c>
      <c r="L8" s="132">
        <v>0</v>
      </c>
      <c r="M8" s="42">
        <v>500</v>
      </c>
      <c r="N8" s="98">
        <f>M8*F8</f>
        <v>490000</v>
      </c>
      <c r="O8" s="83">
        <v>0</v>
      </c>
      <c r="P8" s="99" t="s">
        <v>103</v>
      </c>
      <c r="Q8" s="84">
        <f>4.5*980</f>
        <v>4410</v>
      </c>
      <c r="R8" s="25">
        <f>Q8*4</f>
        <v>17640</v>
      </c>
      <c r="S8" s="25"/>
      <c r="T8" s="75">
        <f t="shared" si="0"/>
        <v>17640</v>
      </c>
      <c r="U8" s="148">
        <v>20000</v>
      </c>
      <c r="V8" s="85">
        <f>N8*0.03</f>
        <v>14700</v>
      </c>
      <c r="W8" s="85">
        <f>N8*0.01</f>
        <v>4900</v>
      </c>
    </row>
    <row r="9" spans="1:23" ht="75" x14ac:dyDescent="0.25">
      <c r="A9" s="52" t="s">
        <v>60</v>
      </c>
      <c r="B9" s="48" t="s">
        <v>73</v>
      </c>
      <c r="C9" s="48" t="s">
        <v>84</v>
      </c>
      <c r="D9" s="62" t="s">
        <v>78</v>
      </c>
      <c r="E9" s="48" t="s">
        <v>72</v>
      </c>
      <c r="F9" s="38">
        <v>210</v>
      </c>
      <c r="G9" s="114">
        <f>F9/F15</f>
        <v>7.1550255536626917E-2</v>
      </c>
      <c r="H9" s="41" t="s">
        <v>101</v>
      </c>
      <c r="I9" s="129">
        <f t="shared" ref="I9:I11" si="3">F9/2010</f>
        <v>0.1044776119402985</v>
      </c>
      <c r="J9" s="117">
        <v>0</v>
      </c>
      <c r="K9" s="110">
        <v>0</v>
      </c>
      <c r="L9" s="132">
        <v>0</v>
      </c>
      <c r="M9" s="43">
        <v>100</v>
      </c>
      <c r="N9" s="98">
        <f>M9*F9</f>
        <v>21000</v>
      </c>
      <c r="O9" s="83">
        <v>0</v>
      </c>
      <c r="P9" s="98" t="s">
        <v>41</v>
      </c>
      <c r="Q9" s="84">
        <v>0</v>
      </c>
      <c r="R9" s="25">
        <v>0</v>
      </c>
      <c r="S9" s="25">
        <f>Q9*13</f>
        <v>0</v>
      </c>
      <c r="T9" s="75">
        <f t="shared" si="0"/>
        <v>0</v>
      </c>
      <c r="U9" s="148">
        <v>20000</v>
      </c>
      <c r="V9" s="85">
        <f>N9*0.03</f>
        <v>630</v>
      </c>
      <c r="W9" s="85">
        <f>N9*0.01</f>
        <v>210</v>
      </c>
    </row>
    <row r="10" spans="1:23" ht="105" x14ac:dyDescent="0.25">
      <c r="A10" s="47" t="s">
        <v>62</v>
      </c>
      <c r="B10" s="48" t="s">
        <v>81</v>
      </c>
      <c r="C10" s="48" t="s">
        <v>84</v>
      </c>
      <c r="D10" s="61" t="s">
        <v>71</v>
      </c>
      <c r="E10" s="48" t="s">
        <v>72</v>
      </c>
      <c r="F10" s="38">
        <v>220</v>
      </c>
      <c r="G10" s="114">
        <f>F10/F15</f>
        <v>7.4957410562180582E-2</v>
      </c>
      <c r="H10" s="41" t="s">
        <v>101</v>
      </c>
      <c r="I10" s="129">
        <f t="shared" si="3"/>
        <v>0.10945273631840796</v>
      </c>
      <c r="J10" s="117">
        <v>0</v>
      </c>
      <c r="K10" s="109">
        <v>0</v>
      </c>
      <c r="L10" s="132">
        <v>0</v>
      </c>
      <c r="M10" s="43">
        <v>700</v>
      </c>
      <c r="N10" s="98">
        <f>M10*F10</f>
        <v>154000</v>
      </c>
      <c r="O10" s="83">
        <v>22000</v>
      </c>
      <c r="P10" s="98" t="s">
        <v>41</v>
      </c>
      <c r="Q10" s="84">
        <v>0</v>
      </c>
      <c r="R10" s="25"/>
      <c r="S10" s="25">
        <v>0</v>
      </c>
      <c r="T10" s="75">
        <f t="shared" si="0"/>
        <v>0</v>
      </c>
      <c r="U10" s="148">
        <v>20000</v>
      </c>
      <c r="V10" s="85">
        <f>N10*0.03</f>
        <v>4620</v>
      </c>
      <c r="W10" s="85">
        <f>N10*0.01</f>
        <v>1540</v>
      </c>
    </row>
    <row r="11" spans="1:23" ht="75" x14ac:dyDescent="0.25">
      <c r="A11" s="52" t="s">
        <v>63</v>
      </c>
      <c r="B11" s="48" t="s">
        <v>83</v>
      </c>
      <c r="C11" s="48" t="s">
        <v>84</v>
      </c>
      <c r="D11" s="61" t="s">
        <v>85</v>
      </c>
      <c r="E11" s="48" t="s">
        <v>72</v>
      </c>
      <c r="F11" s="38">
        <v>160</v>
      </c>
      <c r="G11" s="114">
        <f>F11/F15</f>
        <v>5.4514480408858604E-2</v>
      </c>
      <c r="H11" s="41" t="s">
        <v>101</v>
      </c>
      <c r="I11" s="129">
        <f t="shared" si="3"/>
        <v>7.9601990049751242E-2</v>
      </c>
      <c r="J11" s="117">
        <v>0</v>
      </c>
      <c r="K11" s="110">
        <v>0</v>
      </c>
      <c r="L11" s="132">
        <v>0</v>
      </c>
      <c r="M11" s="42">
        <v>200</v>
      </c>
      <c r="N11" s="98">
        <f>M11*F11</f>
        <v>32000</v>
      </c>
      <c r="O11" s="101">
        <v>16000</v>
      </c>
      <c r="P11" s="74"/>
      <c r="Q11" s="84">
        <f>160*2</f>
        <v>320</v>
      </c>
      <c r="R11" s="4">
        <f>Q11*4</f>
        <v>1280</v>
      </c>
      <c r="S11" s="4"/>
      <c r="T11" s="76">
        <f>R11</f>
        <v>1280</v>
      </c>
      <c r="U11" s="148">
        <v>20000</v>
      </c>
      <c r="V11" s="85">
        <f>N11*0.03</f>
        <v>960</v>
      </c>
      <c r="W11" s="85">
        <f>N11*0.01</f>
        <v>320</v>
      </c>
    </row>
    <row r="12" spans="1:23" ht="45" x14ac:dyDescent="0.25">
      <c r="A12" s="49" t="s">
        <v>61</v>
      </c>
      <c r="B12" s="51" t="s">
        <v>69</v>
      </c>
      <c r="C12" s="50" t="s">
        <v>57</v>
      </c>
      <c r="D12" s="51" t="s">
        <v>70</v>
      </c>
      <c r="E12" s="51" t="s">
        <v>66</v>
      </c>
      <c r="F12" s="50">
        <v>0</v>
      </c>
      <c r="G12" s="115">
        <f>F12/F15</f>
        <v>0</v>
      </c>
      <c r="H12" s="41" t="s">
        <v>107</v>
      </c>
      <c r="I12" s="116"/>
      <c r="J12" s="117">
        <v>0</v>
      </c>
      <c r="K12" s="110">
        <v>0</v>
      </c>
      <c r="L12" s="132">
        <f>K24*G12</f>
        <v>0</v>
      </c>
      <c r="M12" s="137"/>
      <c r="N12" s="138"/>
      <c r="O12" s="100">
        <v>0</v>
      </c>
      <c r="P12" s="139" t="s">
        <v>105</v>
      </c>
      <c r="Q12" s="84">
        <v>0</v>
      </c>
      <c r="R12" s="4"/>
      <c r="S12" s="4"/>
      <c r="T12" s="77"/>
      <c r="U12" s="148"/>
      <c r="V12" s="79"/>
      <c r="W12" s="79"/>
    </row>
    <row r="13" spans="1:23" ht="75" x14ac:dyDescent="0.25">
      <c r="A13" s="49" t="s">
        <v>64</v>
      </c>
      <c r="B13" s="51" t="s">
        <v>74</v>
      </c>
      <c r="C13" s="50" t="s">
        <v>57</v>
      </c>
      <c r="D13" s="51" t="s">
        <v>75</v>
      </c>
      <c r="E13" s="51" t="s">
        <v>67</v>
      </c>
      <c r="F13" s="50">
        <v>0</v>
      </c>
      <c r="G13" s="115">
        <f>F13/F15</f>
        <v>0</v>
      </c>
      <c r="H13" s="41" t="s">
        <v>108</v>
      </c>
      <c r="I13" s="116"/>
      <c r="J13" s="117">
        <v>0</v>
      </c>
      <c r="K13" s="110">
        <v>0</v>
      </c>
      <c r="L13" s="132">
        <f>K25*G13</f>
        <v>0</v>
      </c>
      <c r="M13" s="137"/>
      <c r="N13" s="138"/>
      <c r="O13" s="100">
        <v>0</v>
      </c>
      <c r="P13" s="139" t="s">
        <v>105</v>
      </c>
      <c r="Q13" s="84">
        <v>0</v>
      </c>
      <c r="R13" s="4"/>
      <c r="S13" s="4"/>
      <c r="T13" s="77"/>
      <c r="U13" s="148"/>
      <c r="V13" s="79"/>
      <c r="W13" s="79"/>
    </row>
    <row r="14" spans="1:23" ht="60.75" thickBot="1" x14ac:dyDescent="0.3">
      <c r="A14" s="49" t="s">
        <v>65</v>
      </c>
      <c r="B14" s="51" t="s">
        <v>76</v>
      </c>
      <c r="C14" s="50" t="s">
        <v>57</v>
      </c>
      <c r="D14" s="51" t="s">
        <v>77</v>
      </c>
      <c r="E14" s="51" t="s">
        <v>68</v>
      </c>
      <c r="F14" s="50">
        <v>0</v>
      </c>
      <c r="G14" s="115">
        <f>F14/F15</f>
        <v>0</v>
      </c>
      <c r="H14" s="150" t="s">
        <v>108</v>
      </c>
      <c r="I14" s="130">
        <v>0.32550000000000001</v>
      </c>
      <c r="J14" s="127">
        <v>0</v>
      </c>
      <c r="K14" s="128">
        <v>0</v>
      </c>
      <c r="L14" s="133">
        <f>K26*G14</f>
        <v>0</v>
      </c>
      <c r="M14" s="140"/>
      <c r="N14" s="141"/>
      <c r="O14" s="142">
        <v>0</v>
      </c>
      <c r="P14" s="143" t="s">
        <v>105</v>
      </c>
      <c r="Q14" s="84">
        <v>0</v>
      </c>
      <c r="R14" s="4"/>
      <c r="S14" s="4"/>
      <c r="T14" s="77"/>
      <c r="U14" s="148"/>
      <c r="V14" s="79"/>
      <c r="W14" s="79"/>
    </row>
    <row r="15" spans="1:23" ht="15.75" thickBot="1" x14ac:dyDescent="0.3">
      <c r="A15" s="8"/>
      <c r="B15" s="9"/>
      <c r="C15" s="9"/>
      <c r="D15" s="9"/>
      <c r="E15" s="9" t="s">
        <v>9</v>
      </c>
      <c r="F15" s="9">
        <f>SUM(F5:F14)</f>
        <v>2935</v>
      </c>
      <c r="G15" s="58">
        <f>SUM(G5:G14)</f>
        <v>1.0000000000000002</v>
      </c>
      <c r="H15" s="118"/>
      <c r="I15" s="119"/>
      <c r="J15" s="120">
        <f>K15+L15</f>
        <v>0</v>
      </c>
      <c r="K15" s="121">
        <f>SUM(K9:K14)</f>
        <v>0</v>
      </c>
      <c r="L15" s="122">
        <f>SUM(L5:L14)</f>
        <v>0</v>
      </c>
      <c r="M15" s="135"/>
      <c r="N15" s="96">
        <f>SUM(N5:N11)</f>
        <v>1049000</v>
      </c>
      <c r="O15" s="95">
        <f>SUM(O5:O14)</f>
        <v>82000</v>
      </c>
      <c r="P15" s="96"/>
      <c r="Q15" s="8">
        <f>SUM(Q5:Q10)</f>
        <v>4410</v>
      </c>
      <c r="R15" s="45">
        <f>SUM(R7:R14)</f>
        <v>18920</v>
      </c>
      <c r="S15" s="45">
        <f>SUM(S5:S10)</f>
        <v>0</v>
      </c>
      <c r="T15" s="78">
        <f>SUM(T5:T11)</f>
        <v>18920</v>
      </c>
      <c r="U15" s="149">
        <f>SUM(U5:U14)</f>
        <v>100000</v>
      </c>
      <c r="V15" s="80">
        <f>SUM(V5:V11)</f>
        <v>31470</v>
      </c>
      <c r="W15" s="80">
        <f>SUM(W5:W14)</f>
        <v>10490</v>
      </c>
    </row>
    <row r="17" spans="7:21" ht="60" x14ac:dyDescent="0.25">
      <c r="H17" s="103" t="s">
        <v>111</v>
      </c>
      <c r="I17" s="107"/>
      <c r="M17" s="144" t="s">
        <v>114</v>
      </c>
    </row>
    <row r="18" spans="7:21" x14ac:dyDescent="0.25">
      <c r="G18" s="151">
        <v>0.32550000000000001</v>
      </c>
      <c r="H18" t="s">
        <v>109</v>
      </c>
      <c r="J18" s="16">
        <v>22785</v>
      </c>
    </row>
    <row r="19" spans="7:21" x14ac:dyDescent="0.25">
      <c r="G19" s="151">
        <f>1-G18</f>
        <v>0.67449999999999999</v>
      </c>
      <c r="H19" t="s">
        <v>110</v>
      </c>
      <c r="J19" s="16">
        <v>47215</v>
      </c>
      <c r="O19" t="s">
        <v>23</v>
      </c>
    </row>
    <row r="20" spans="7:21" ht="30" x14ac:dyDescent="0.25">
      <c r="H20" t="s">
        <v>112</v>
      </c>
      <c r="J20" s="18">
        <f>SUM(J18:J19)</f>
        <v>70000</v>
      </c>
      <c r="N20" s="46" t="s">
        <v>45</v>
      </c>
      <c r="O20" s="25">
        <f>J15</f>
        <v>0</v>
      </c>
      <c r="P20" s="33" t="s">
        <v>36</v>
      </c>
      <c r="Q20" s="19"/>
      <c r="T20" s="16"/>
      <c r="U20"/>
    </row>
    <row r="21" spans="7:21" x14ac:dyDescent="0.25">
      <c r="N21" s="32" t="s">
        <v>24</v>
      </c>
      <c r="O21" s="26">
        <f>N15</f>
        <v>1049000</v>
      </c>
      <c r="P21" s="33" t="s">
        <v>119</v>
      </c>
      <c r="Q21" s="20"/>
      <c r="T21" s="16"/>
      <c r="U21"/>
    </row>
    <row r="22" spans="7:21" x14ac:dyDescent="0.25">
      <c r="N22" s="38" t="s">
        <v>40</v>
      </c>
      <c r="O22" s="26">
        <f>O15</f>
        <v>82000</v>
      </c>
      <c r="P22" s="33" t="s">
        <v>115</v>
      </c>
      <c r="Q22" s="20"/>
      <c r="T22" s="16"/>
      <c r="U22"/>
    </row>
    <row r="23" spans="7:21" ht="30" x14ac:dyDescent="0.25">
      <c r="N23" s="14" t="s">
        <v>25</v>
      </c>
      <c r="O23" s="26">
        <f>T15</f>
        <v>18920</v>
      </c>
      <c r="P23" s="33">
        <v>2019</v>
      </c>
      <c r="Q23" s="20"/>
      <c r="T23" s="16"/>
      <c r="U23"/>
    </row>
    <row r="24" spans="7:21" x14ac:dyDescent="0.25">
      <c r="N24" s="31" t="s">
        <v>29</v>
      </c>
      <c r="O24" s="25">
        <f>U15</f>
        <v>100000</v>
      </c>
      <c r="P24" s="33" t="s">
        <v>120</v>
      </c>
      <c r="Q24" s="19"/>
      <c r="T24" s="16"/>
      <c r="U24"/>
    </row>
    <row r="25" spans="7:21" x14ac:dyDescent="0.25">
      <c r="N25" s="30" t="s">
        <v>27</v>
      </c>
      <c r="O25" s="26">
        <f>V15</f>
        <v>31470</v>
      </c>
      <c r="P25" s="33" t="s">
        <v>119</v>
      </c>
      <c r="Q25" s="20"/>
      <c r="T25" s="16"/>
      <c r="U25"/>
    </row>
    <row r="26" spans="7:21" x14ac:dyDescent="0.25">
      <c r="N26" s="29" t="s">
        <v>28</v>
      </c>
      <c r="O26" s="26">
        <f>W15</f>
        <v>10490</v>
      </c>
      <c r="P26" s="33" t="s">
        <v>119</v>
      </c>
      <c r="Q26" s="20"/>
      <c r="T26" s="16"/>
      <c r="U26"/>
    </row>
    <row r="27" spans="7:21" x14ac:dyDescent="0.25">
      <c r="N27" s="4" t="s">
        <v>30</v>
      </c>
      <c r="O27" s="25">
        <v>10000</v>
      </c>
      <c r="P27" s="33">
        <v>2019</v>
      </c>
      <c r="Q27" s="19"/>
      <c r="T27" s="16"/>
      <c r="U27"/>
    </row>
    <row r="28" spans="7:21" x14ac:dyDescent="0.25">
      <c r="N28" t="s">
        <v>22</v>
      </c>
      <c r="O28" s="18">
        <f>SUM(O20:O27)</f>
        <v>1301880</v>
      </c>
      <c r="P28" s="18"/>
      <c r="Q28" s="18"/>
    </row>
    <row r="29" spans="7:21" x14ac:dyDescent="0.25">
      <c r="N29" t="s">
        <v>48</v>
      </c>
      <c r="P29" s="18"/>
      <c r="Q29" s="18"/>
    </row>
  </sheetData>
  <pageMargins left="0.7" right="0.7" top="0.75" bottom="0.75" header="0.3" footer="0.3"/>
  <pageSetup paperSize="8"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28"/>
  <sheetViews>
    <sheetView topLeftCell="A3" workbookViewId="0">
      <selection activeCell="D19" sqref="D19"/>
    </sheetView>
  </sheetViews>
  <sheetFormatPr defaultRowHeight="15" x14ac:dyDescent="0.25"/>
  <cols>
    <col min="1" max="1" width="16.7109375" bestFit="1" customWidth="1"/>
    <col min="2" max="2" width="14.7109375" bestFit="1" customWidth="1"/>
    <col min="3" max="3" width="42" customWidth="1"/>
    <col min="4" max="4" width="28.42578125" bestFit="1" customWidth="1"/>
  </cols>
  <sheetData>
    <row r="1" spans="1:4" ht="15.75" x14ac:dyDescent="0.25">
      <c r="A1" s="13" t="s">
        <v>49</v>
      </c>
    </row>
    <row r="2" spans="1:4" ht="15.75" x14ac:dyDescent="0.25">
      <c r="A2" s="13" t="s">
        <v>47</v>
      </c>
    </row>
    <row r="4" spans="1:4" ht="30" x14ac:dyDescent="0.25">
      <c r="B4" s="71" t="s">
        <v>117</v>
      </c>
      <c r="C4" t="s">
        <v>116</v>
      </c>
    </row>
    <row r="5" spans="1:4" ht="30" x14ac:dyDescent="0.25">
      <c r="A5" s="46" t="s">
        <v>45</v>
      </c>
      <c r="B5" s="25">
        <f>'skupni stroški - vse'!O20</f>
        <v>0</v>
      </c>
      <c r="C5" s="33" t="s">
        <v>36</v>
      </c>
    </row>
    <row r="6" spans="1:4" x14ac:dyDescent="0.25">
      <c r="A6" s="32" t="s">
        <v>24</v>
      </c>
      <c r="B6" s="26">
        <f>'skupni stroški - vse'!O21</f>
        <v>1049000</v>
      </c>
      <c r="C6" s="33" t="s">
        <v>119</v>
      </c>
    </row>
    <row r="7" spans="1:4" x14ac:dyDescent="0.25">
      <c r="A7" s="38" t="s">
        <v>40</v>
      </c>
      <c r="B7" s="26">
        <f>'skupni stroški - vse'!O22</f>
        <v>82000</v>
      </c>
      <c r="C7" s="33" t="s">
        <v>115</v>
      </c>
    </row>
    <row r="8" spans="1:4" ht="30" x14ac:dyDescent="0.25">
      <c r="A8" s="14" t="s">
        <v>25</v>
      </c>
      <c r="B8" s="26">
        <f>'skupni stroški - vse'!O23</f>
        <v>18920</v>
      </c>
      <c r="C8" s="33">
        <v>2019</v>
      </c>
    </row>
    <row r="9" spans="1:4" x14ac:dyDescent="0.25">
      <c r="A9" s="31" t="s">
        <v>29</v>
      </c>
      <c r="B9" s="25">
        <f>'skupni stroški - vse'!O24</f>
        <v>100000</v>
      </c>
      <c r="C9" s="33" t="s">
        <v>120</v>
      </c>
    </row>
    <row r="10" spans="1:4" x14ac:dyDescent="0.25">
      <c r="A10" s="30" t="s">
        <v>27</v>
      </c>
      <c r="B10" s="26">
        <f>'skupni stroški - vse'!O25</f>
        <v>31470</v>
      </c>
      <c r="C10" s="33" t="s">
        <v>119</v>
      </c>
    </row>
    <row r="11" spans="1:4" x14ac:dyDescent="0.25">
      <c r="A11" s="29" t="s">
        <v>28</v>
      </c>
      <c r="B11" s="26">
        <f>'skupni stroški - vse'!O26</f>
        <v>10490</v>
      </c>
      <c r="C11" s="33" t="s">
        <v>119</v>
      </c>
    </row>
    <row r="12" spans="1:4" x14ac:dyDescent="0.25">
      <c r="A12" s="4" t="s">
        <v>30</v>
      </c>
      <c r="B12" s="25">
        <v>10000</v>
      </c>
      <c r="C12" s="33">
        <v>2019</v>
      </c>
    </row>
    <row r="13" spans="1:4" x14ac:dyDescent="0.25">
      <c r="A13" t="s">
        <v>22</v>
      </c>
      <c r="B13" s="18">
        <f>SUM(B5:B12)</f>
        <v>1301880</v>
      </c>
    </row>
    <row r="14" spans="1:4" x14ac:dyDescent="0.25">
      <c r="A14" t="s">
        <v>48</v>
      </c>
      <c r="C14" s="18"/>
      <c r="D14" s="18"/>
    </row>
    <row r="17" spans="2:4" x14ac:dyDescent="0.25">
      <c r="B17" s="34"/>
      <c r="C17" s="4" t="s">
        <v>43</v>
      </c>
      <c r="D17" s="4" t="s">
        <v>121</v>
      </c>
    </row>
    <row r="18" spans="2:4" x14ac:dyDescent="0.25">
      <c r="B18" s="4">
        <v>2018</v>
      </c>
      <c r="C18" s="4" t="s">
        <v>35</v>
      </c>
      <c r="D18" s="25"/>
    </row>
    <row r="19" spans="2:4" ht="60" x14ac:dyDescent="0.25">
      <c r="B19" s="4">
        <v>2019</v>
      </c>
      <c r="C19" s="40" t="s">
        <v>118</v>
      </c>
      <c r="D19" s="25">
        <f>45000+10000+20000+18920</f>
        <v>93920</v>
      </c>
    </row>
    <row r="20" spans="2:4" x14ac:dyDescent="0.25">
      <c r="B20" s="4">
        <v>2019</v>
      </c>
      <c r="C20" s="4" t="s">
        <v>31</v>
      </c>
      <c r="D20" s="25"/>
    </row>
    <row r="21" spans="2:4" x14ac:dyDescent="0.25">
      <c r="B21" s="4">
        <v>2020</v>
      </c>
      <c r="C21" s="4" t="s">
        <v>32</v>
      </c>
      <c r="D21" s="25">
        <f t="shared" ref="D21:D22" si="0">D27</f>
        <v>835306.66666666663</v>
      </c>
    </row>
    <row r="22" spans="2:4" x14ac:dyDescent="0.25">
      <c r="B22" s="4">
        <v>2021</v>
      </c>
      <c r="C22" s="4" t="s">
        <v>32</v>
      </c>
      <c r="D22" s="25">
        <f t="shared" si="0"/>
        <v>417653.33333333331</v>
      </c>
    </row>
    <row r="23" spans="2:4" x14ac:dyDescent="0.25">
      <c r="C23" t="s">
        <v>12</v>
      </c>
      <c r="D23" s="35">
        <f>SUM(D18:D22)</f>
        <v>1346880</v>
      </c>
    </row>
    <row r="26" spans="2:4" x14ac:dyDescent="0.25">
      <c r="B26" t="s">
        <v>22</v>
      </c>
      <c r="C26" t="s">
        <v>44</v>
      </c>
      <c r="D26" s="18">
        <f>B6+B9+B10+B11-20000+B7</f>
        <v>1252960</v>
      </c>
    </row>
    <row r="27" spans="2:4" x14ac:dyDescent="0.25">
      <c r="C27" t="s">
        <v>33</v>
      </c>
      <c r="D27" s="18">
        <f>D26*2/3</f>
        <v>835306.66666666663</v>
      </c>
    </row>
    <row r="28" spans="2:4" x14ac:dyDescent="0.25">
      <c r="C28" t="s">
        <v>34</v>
      </c>
      <c r="D28" s="18">
        <f>D26*1/3</f>
        <v>417653.33333333331</v>
      </c>
    </row>
  </sheetData>
  <pageMargins left="0.7" right="0.7" top="0.75" bottom="0.75" header="0.3" footer="0.3"/>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tabela 1</vt:lpstr>
      <vt:lpstr>tabela 2 - vrste kol.pov</vt:lpstr>
      <vt:lpstr>skupni stroški - vse</vt:lpstr>
      <vt:lpstr>terminski plan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 Leben</dc:creator>
  <cp:lastModifiedBy>Teja Leben</cp:lastModifiedBy>
  <cp:lastPrinted>2018-01-10T06:35:14Z</cp:lastPrinted>
  <dcterms:created xsi:type="dcterms:W3CDTF">2018-01-08T10:02:30Z</dcterms:created>
  <dcterms:modified xsi:type="dcterms:W3CDTF">2018-07-19T14:14:48Z</dcterms:modified>
</cp:coreProperties>
</file>