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a_delovni_zvezek"/>
  <mc:AlternateContent xmlns:mc="http://schemas.openxmlformats.org/markup-compatibility/2006">
    <mc:Choice Requires="x15">
      <x15ac:absPath xmlns:x15ac="http://schemas.microsoft.com/office/spreadsheetml/2010/11/ac" url="Z:\GE projekt - projekti\559 - 2023 Občina Brežice Tehnična in ekonomska podpora JZP SSE\program izvajanja\"/>
    </mc:Choice>
  </mc:AlternateContent>
  <xr:revisionPtr revIDLastSave="0" documentId="13_ncr:1_{5CAB0049-F46D-4BDA-83DF-6349FDE445CF}" xr6:coauthVersionLast="47" xr6:coauthVersionMax="47" xr10:uidLastSave="{00000000-0000-0000-0000-000000000000}"/>
  <bookViews>
    <workbookView xWindow="-120" yWindow="-120" windowWidth="29040" windowHeight="17640" tabRatio="822" activeTab="3" xr2:uid="{00000000-000D-0000-FFFF-FFFF00000000}"/>
  </bookViews>
  <sheets>
    <sheet name="PROGRAM IZVAJANJA" sheetId="1" r:id="rId1"/>
    <sheet name="Navodila" sheetId="12" r:id="rId2"/>
    <sheet name="Osnovni podatki" sheetId="2" r:id="rId3"/>
    <sheet name="Referenčne količine" sheetId="5" r:id="rId4"/>
    <sheet name="IS01" sheetId="6" r:id="rId5"/>
    <sheet name="IS02" sheetId="28" r:id="rId6"/>
    <sheet name="IS03" sheetId="29" r:id="rId7"/>
    <sheet name="IS04" sheetId="30" r:id="rId8"/>
    <sheet name="IS05" sheetId="31" r:id="rId9"/>
    <sheet name="IS06" sheetId="32" r:id="rId10"/>
    <sheet name="IS07" sheetId="33" r:id="rId11"/>
    <sheet name="IS08" sheetId="34" r:id="rId12"/>
    <sheet name="IS09" sheetId="35" r:id="rId13"/>
    <sheet name="IS10" sheetId="37" r:id="rId14"/>
    <sheet name="SS01" sheetId="26" r:id="rId15"/>
    <sheet name="Skupni zajamčeni prihranki" sheetId="7" r:id="rId16"/>
    <sheet name="ObračunOB01" sheetId="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</externalReferences>
  <definedNames>
    <definedName name="___________________________A120312">#REF!</definedName>
    <definedName name="__________________________A120312">#REF!</definedName>
    <definedName name="_________________________A120312">#REF!</definedName>
    <definedName name="________________________A120312">#REF!</definedName>
    <definedName name="________________________dod2">[1]Pipe!#REF!</definedName>
    <definedName name="_______________________A120312">#REF!</definedName>
    <definedName name="_______________________dod2">[1]Pipe!#REF!</definedName>
    <definedName name="______________________A120312">#REF!</definedName>
    <definedName name="______________________dod2">[1]Pipe!#REF!</definedName>
    <definedName name="_____________________A120312">#REF!</definedName>
    <definedName name="_____________________dod2">[1]Pipe!#REF!</definedName>
    <definedName name="____________________A120312">#REF!</definedName>
    <definedName name="____________________dod2">[1]Pipe!#REF!</definedName>
    <definedName name="___________________A120312">#REF!</definedName>
    <definedName name="___________________dod2">[2]Pipe!#REF!</definedName>
    <definedName name="__________________A120312">#REF!</definedName>
    <definedName name="__________________dod2">[2]Pipe!#REF!</definedName>
    <definedName name="_________________A120312">#REF!</definedName>
    <definedName name="_________________dod2">[1]Pipe!#REF!</definedName>
    <definedName name="________________A120312">#REF!</definedName>
    <definedName name="________________dod2">[2]Pipe!#REF!</definedName>
    <definedName name="_______________A120312">#REF!</definedName>
    <definedName name="_______________dod2">[2]Pipe!#REF!</definedName>
    <definedName name="______________A120312">#REF!</definedName>
    <definedName name="______________dod2">[2]Pipe!#REF!</definedName>
    <definedName name="_____________A120312">#REF!</definedName>
    <definedName name="_____________dod2">[2]Pipe!#REF!</definedName>
    <definedName name="____________A120312">#REF!</definedName>
    <definedName name="____________dod2">[2]Pipe!#REF!</definedName>
    <definedName name="___________A120312">#REF!</definedName>
    <definedName name="___________dod2">[2]Pipe!#REF!</definedName>
    <definedName name="__________A120312">#REF!</definedName>
    <definedName name="__________dod2">[2]Pipe!#REF!</definedName>
    <definedName name="_________A120312">#REF!</definedName>
    <definedName name="_________dod2">[2]Pipe!#REF!</definedName>
    <definedName name="________A120312">#REF!</definedName>
    <definedName name="________dod2">[2]Pipe!#REF!</definedName>
    <definedName name="_______A120312">#REF!</definedName>
    <definedName name="_______dod2">[2]Pipe!#REF!</definedName>
    <definedName name="______A120312">#REF!</definedName>
    <definedName name="______dod2">[2]Pipe!#REF!</definedName>
    <definedName name="_____A120312">#REF!</definedName>
    <definedName name="_____dod2">[2]Pipe!#REF!</definedName>
    <definedName name="____A120312">#REF!</definedName>
    <definedName name="____dod2">[3]Pipe!#REF!</definedName>
    <definedName name="___A120312">#REF!</definedName>
    <definedName name="___dod2">[2]Pipe!#REF!</definedName>
    <definedName name="__A120312">#REF!</definedName>
    <definedName name="__dod2">[1]Pipe!#REF!</definedName>
    <definedName name="__IntlFixup" hidden="1">TRUE</definedName>
    <definedName name="_1" localSheetId="5" hidden="1">MATCH(0.01,End_Bal,-1)+1</definedName>
    <definedName name="_1" localSheetId="6" hidden="1">MATCH(0.01,End_Bal,-1)+1</definedName>
    <definedName name="_1" localSheetId="7" hidden="1">MATCH(0.01,End_Bal,-1)+1</definedName>
    <definedName name="_1" localSheetId="8" hidden="1">MATCH(0.01,End_Bal,-1)+1</definedName>
    <definedName name="_1" localSheetId="9" hidden="1">MATCH(0.01,End_Bal,-1)+1</definedName>
    <definedName name="_1" localSheetId="10" hidden="1">MATCH(0.01,End_Bal,-1)+1</definedName>
    <definedName name="_1" localSheetId="11" hidden="1">MATCH(0.01,End_Bal,-1)+1</definedName>
    <definedName name="_1" localSheetId="12" hidden="1">MATCH(0.01,End_Bal,-1)+1</definedName>
    <definedName name="_1" localSheetId="13" hidden="1">MATCH(0.01,End_Bal,-1)+1</definedName>
    <definedName name="_1" localSheetId="14" hidden="1">MATCH(0.01,End_Bal,-1)+1</definedName>
    <definedName name="_1" hidden="1">MATCH(0.01,End_Bal,-1)+1</definedName>
    <definedName name="_A120312">#REF!</definedName>
    <definedName name="_A120313">#REF!</definedName>
    <definedName name="_dod2">[2]Pipe!#REF!</definedName>
    <definedName name="_NZ1">#REF!</definedName>
    <definedName name="_NZ2">#REF!</definedName>
    <definedName name="_NZ3">#REF!</definedName>
    <definedName name="_OK1">#REF!</definedName>
    <definedName name="_okn1">#REF!</definedName>
    <definedName name="_okn2">#REF!</definedName>
    <definedName name="_okn3">#REF!</definedName>
    <definedName name="_okn4">#REF!</definedName>
    <definedName name="_okn5">#REF!</definedName>
    <definedName name="_okn6">#REF!</definedName>
    <definedName name="_STR1">#REF!</definedName>
    <definedName name="_TKL1">#REF!</definedName>
    <definedName name="_TLA1">#REF!</definedName>
    <definedName name="_vra1">#REF!</definedName>
    <definedName name="_vra2">#REF!</definedName>
    <definedName name="_vra3">#REF!</definedName>
    <definedName name="_XA14">[4]TABLE!$B$21</definedName>
    <definedName name="_XA16">[4]TABLE!$B$22</definedName>
    <definedName name="_XA18">[4]TABLE!$B$23</definedName>
    <definedName name="_XA25">[4]TABLE!$B$24</definedName>
    <definedName name="_XC10">[4]TABLE!$B$12</definedName>
    <definedName name="_XC12">[4]TABLE!$B$13</definedName>
    <definedName name="_XC15">[4]TABLE!$B$14</definedName>
    <definedName name="_XC16">[4]TABLE!$B$15</definedName>
    <definedName name="_XC18">[4]TABLE!$B$16</definedName>
    <definedName name="_XC22">[4]TABLE!$B$17</definedName>
    <definedName name="_XC28">[4]TABLE!$B$18</definedName>
    <definedName name="_XC35">[4]TABLE!$B$19</definedName>
    <definedName name="_XD10">[4]TABLE!$B$5</definedName>
    <definedName name="_XD100">[4]TABLE!$F$9</definedName>
    <definedName name="_XD1000">[4]TABLE!$F$24</definedName>
    <definedName name="_XD1100">[4]TABLE!$F$25</definedName>
    <definedName name="_XD1200">[4]TABLE!$F$26</definedName>
    <definedName name="_XD125">[4]TABLE!$F$10</definedName>
    <definedName name="_XD15">[4]TABLE!$B$6</definedName>
    <definedName name="_XD150">[4]TABLE!$F$11</definedName>
    <definedName name="_XD175">[4]TABLE!$F$12</definedName>
    <definedName name="_XD20">[4]TABLE!$B$7</definedName>
    <definedName name="_XD200">[4]TABLE!$F$13</definedName>
    <definedName name="_XD25">[4]TABLE!$B$8</definedName>
    <definedName name="_XD250">[4]TABLE!$F$14</definedName>
    <definedName name="_XD300">[4]TABLE!$F$15</definedName>
    <definedName name="_XD32">[4]TABLE!$B$9</definedName>
    <definedName name="_XD350">[4]TABLE!$F$16</definedName>
    <definedName name="_XD40">[4]TABLE!$B$10</definedName>
    <definedName name="_XD400">[4]TABLE!$F$17</definedName>
    <definedName name="_XD41">[4]TABLE!$F$5</definedName>
    <definedName name="_XD450">[4]TABLE!$F$18</definedName>
    <definedName name="_XD50">[4]TABLE!$F$6</definedName>
    <definedName name="_XD500">[4]TABLE!$F$19</definedName>
    <definedName name="_XD600">[4]TABLE!$F$20</definedName>
    <definedName name="_XD65">[4]TABLE!$F$7</definedName>
    <definedName name="_XD700">[4]TABLE!$F$21</definedName>
    <definedName name="_XD80">[4]TABLE!$F$8</definedName>
    <definedName name="_XD800">[4]TABLE!$F$22</definedName>
    <definedName name="_XD900">[4]TABLE!$F$23</definedName>
    <definedName name="_ZV1">#REF!</definedName>
    <definedName name="_ZZ1">#REF!</definedName>
    <definedName name="_ZZ2">#REF!</definedName>
    <definedName name="_ZZ3">#REF!</definedName>
    <definedName name="a">#REF!</definedName>
    <definedName name="aaa">#REF!</definedName>
    <definedName name="ABC_list">[5]Pripomočki!$C$20:$E$20</definedName>
    <definedName name="abril">'[6]EE-bilanca'!#REF!</definedName>
    <definedName name="ae">#REF!</definedName>
    <definedName name="agosto">'[6]EE-bilanca'!#REF!</definedName>
    <definedName name="anscount" hidden="1">1</definedName>
    <definedName name="ARMONIA_150W">[7]Cenik!$F$49</definedName>
    <definedName name="as">#REF!</definedName>
    <definedName name="b">#REF!</definedName>
    <definedName name="BezugsMW">#REF!</definedName>
    <definedName name="cash">[8]Zahlungsströme!#REF!</definedName>
    <definedName name="ccash">[9]Zahlungsströme!#REF!</definedName>
    <definedName name="cccccccccccccc">[2]Pipe!#REF!</definedName>
    <definedName name="Cena_EE">[10]REKAPITULACIJA!$C$2</definedName>
    <definedName name="CenaEE">[11]IME!$B$2</definedName>
    <definedName name="CenaNoveLuci_list">[12]Pripomočki!$I$258:$I$314</definedName>
    <definedName name="CenaPopustNoveLuci_list">[12]Pripomočki!$J$258:$J$314</definedName>
    <definedName name="CenaStareLuci_list">[12]Pripomočki!$J$109:$J$251</definedName>
    <definedName name="_xlnm.Criteria">#REF!</definedName>
    <definedName name="črpalčna_enota">#REF!</definedName>
    <definedName name="D">#REF!</definedName>
    <definedName name="Dane">#REF!</definedName>
    <definedName name="_xlnm.Database">#REF!</definedName>
    <definedName name="dd">#REF!</definedName>
    <definedName name="ddd">#REF!</definedName>
    <definedName name="DelDnevi">#REF!</definedName>
    <definedName name="dfxztrse">#REF!</definedName>
    <definedName name="diciembre">'[6]EE-bilanca'!#REF!</definedName>
    <definedName name="Dni_svetenja_list">[12]Pripomočki!$E$49:$E$63</definedName>
    <definedName name="dodatki">[1]Pipe!#REF!</definedName>
    <definedName name="Doza">#REF!</definedName>
    <definedName name="DPV">#REF!</definedName>
    <definedName name="DTP_2013">[13]DTP!$C$12</definedName>
    <definedName name="DTP_2014">[13]DTP!$C$13</definedName>
    <definedName name="DTP_2015">[13]DTP!$C$14</definedName>
    <definedName name="DTP_2016">[13]DTP!$C$15</definedName>
    <definedName name="DTP_2017">[13]DTP!$C$16</definedName>
    <definedName name="DTP_2018">[13]DTP!$C$17</definedName>
    <definedName name="elektro">[14]Pipe!#REF!</definedName>
    <definedName name="Energent">#REF!</definedName>
    <definedName name="Energenti">[13]!Tabela4[#All]</definedName>
    <definedName name="Energenti_ime">[5]Pripomočki!$D$4:$I$4</definedName>
    <definedName name="Energenti_razmerja">[5]Pripomočki!$D$5:$I$5</definedName>
    <definedName name="enero">'[6]EE-bilanca'!#REF!</definedName>
    <definedName name="EPNStareLuci_list">[12]Pripomočki!$I$109:$I$251</definedName>
    <definedName name="Erhebungsdaten_Bruck_Höfleiner_Str_Tabelle1_Liste">#REF!</definedName>
    <definedName name="factipo">'[6]EE-bilanca'!#REF!</definedName>
    <definedName name="febrero">'[6]EE-bilanca'!#REF!</definedName>
    <definedName name="fffff">#REF!</definedName>
    <definedName name="fffffffffff">[15]Zahlungsströme!#REF!</definedName>
    <definedName name="filters">#REF!</definedName>
    <definedName name="Filtr">#REF!</definedName>
    <definedName name="g" localSheetId="5" hidden="1">MATCH(0.01,End_Bal,-1)+1</definedName>
    <definedName name="g" localSheetId="6" hidden="1">MATCH(0.01,End_Bal,-1)+1</definedName>
    <definedName name="g" localSheetId="7" hidden="1">MATCH(0.01,End_Bal,-1)+1</definedName>
    <definedName name="g" localSheetId="8" hidden="1">MATCH(0.01,End_Bal,-1)+1</definedName>
    <definedName name="g" localSheetId="9" hidden="1">MATCH(0.01,End_Bal,-1)+1</definedName>
    <definedName name="g" localSheetId="10" hidden="1">MATCH(0.01,End_Bal,-1)+1</definedName>
    <definedName name="g" localSheetId="11" hidden="1">MATCH(0.01,End_Bal,-1)+1</definedName>
    <definedName name="g" localSheetId="12" hidden="1">MATCH(0.01,End_Bal,-1)+1</definedName>
    <definedName name="g" localSheetId="13" hidden="1">MATCH(0.01,End_Bal,-1)+1</definedName>
    <definedName name="g" localSheetId="14" hidden="1">MATCH(0.01,End_Bal,-1)+1</definedName>
    <definedName name="g" hidden="1">MATCH(0.01,End_Bal,-1)+1</definedName>
    <definedName name="gjzhdtzjdtzjdjfzj">#REF!</definedName>
    <definedName name="iško">#REF!</definedName>
    <definedName name="Izgube">[16]PopisGOLEA!$W$1</definedName>
    <definedName name="Izkoristek_optike">[12]Pripomočki!$D$80:$D$84</definedName>
    <definedName name="JEKLO_SD">#REF!</definedName>
    <definedName name="julio">'[6]EE-bilanca'!#REF!</definedName>
    <definedName name="junio">'[6]EE-bilanca'!#REF!</definedName>
    <definedName name="KA_bkz">[17]ekon_povzetek!$D$34</definedName>
    <definedName name="KA_ek">[17]ekon_povzetek!$D$35</definedName>
    <definedName name="KA_fertigstell">[17]ekon_povzetek!$D$43</definedName>
    <definedName name="KA_förder_quote">[17]ekon_povzetek!$D$44</definedName>
    <definedName name="KA_invstk_asche">[17]ekon_povzetek!$E$52</definedName>
    <definedName name="KA_invstk_aufschl">[17]ekon_povzetek!$E$71</definedName>
    <definedName name="KA_invstk_aussenanl">[17]ekon_povzetek!$E$70</definedName>
    <definedName name="KA_invstk_beschick">[17]ekon_povzetek!$E$54</definedName>
    <definedName name="KA_invstk_einst">[17]ekon_povzetek!$E$56</definedName>
    <definedName name="KA_invstk_fahrz">[17]ekon_povzetek!$E$60</definedName>
    <definedName name="KA_invstk_grabung">[17]ekon_povzetek!$E$64</definedName>
    <definedName name="KA_invstk_heizh">[17]ekon_povzetek!$E$68</definedName>
    <definedName name="KA_invstk_hinst">[17]ekon_povzetek!$E$57</definedName>
    <definedName name="KA_invstk_hue">[17]ekon_povzetek!$E$65</definedName>
    <definedName name="KA_invstk_kessel">[17]ekon_povzetek!$E$50</definedName>
    <definedName name="KA_invstk_kran">[17]ekon_povzetek!$E$55</definedName>
    <definedName name="KA_invstk_lager">[17]ekon_povzetek!$E$69</definedName>
    <definedName name="KA_invstk_planung">[17]ekon_povzetek!$E$74</definedName>
    <definedName name="KA_invstk_rgrein">[17]ekon_povzetek!$E$51</definedName>
    <definedName name="KA_invstk_rohre">[17]ekon_povzetek!$E$63</definedName>
    <definedName name="KA_invstk_sonst">[17]ekon_povzetek!$E$73</definedName>
    <definedName name="KA_invstk_spitzenl">[17]ekon_povzetek!$E$59</definedName>
    <definedName name="KA_invstk_stahlb">[17]ekon_povzetek!$E$58</definedName>
    <definedName name="KA_invstk_wrg">[17]ekon_povzetek!$E$53</definedName>
    <definedName name="KA_kosten_miete">[17]ekon_povzetek!$D$37</definedName>
    <definedName name="KA_kosten_person">[17]ekon_povzetek!$D$29</definedName>
    <definedName name="KA_kosten_sonst">[17]ekon_povzetek!$D$32</definedName>
    <definedName name="KA_kosten_strom">[17]ekon_povzetek!$D$31</definedName>
    <definedName name="KA_Kredit_barwert">[17]ekon_povzetek!$D$39</definedName>
    <definedName name="KA_Kredit_laufzt">[17]ekon_povzetek!$D$42</definedName>
    <definedName name="KA_Kredit_zinsen">[17]ekon_povzetek!$D$40</definedName>
    <definedName name="KA_netzab_1">[17]ekon_povzetek!$D$18</definedName>
    <definedName name="KA_netzab_2">[17]ekon_povzetek!$D$19</definedName>
    <definedName name="KA_netzab_3">[17]ekon_povzetek!$D$20</definedName>
    <definedName name="KA_Preis_bm">[17]ekon_povzetek!$D$27</definedName>
    <definedName name="KA_Preis_öl">[17]ekon_povzetek!$D$28</definedName>
    <definedName name="KA_Preis_spitzenlast">[17]ekon_povzetek!$D$36</definedName>
    <definedName name="KA_Preis_wärme">[17]ekon_povzetek!$D$33</definedName>
    <definedName name="KA_verbrauch_strom">[17]ekon_povzetek!$D$30</definedName>
    <definedName name="KA_wag_1">[17]ekon_povzetek!$D$11</definedName>
    <definedName name="KA_wag_2">[17]ekon_povzetek!$D$12</definedName>
    <definedName name="KA_wag_3">[17]ekon_povzetek!$D$13</definedName>
    <definedName name="KA_Wärme_brnst">[17]ekon_povzetek!$D$16</definedName>
    <definedName name="KA_Wärme_prod">[17]ekon_povzetek!$D$15</definedName>
    <definedName name="KA_Wärme_verk">[17]ekon_povzetek!$D$14</definedName>
    <definedName name="kand_etm_delo">[7]Cenik!$F$108</definedName>
    <definedName name="kand_etm_nadzor">[7]Cenik!$F$109</definedName>
    <definedName name="KAOS_1_100W">[7]Cenik!$F$29</definedName>
    <definedName name="KAOS_1_70W">[7]Cenik!$F$26</definedName>
    <definedName name="KAOS_2_150W">[7]Cenik!$F$40</definedName>
    <definedName name="Kaos1">#REF!</definedName>
    <definedName name="Kizg">[18]Popis!$H$1</definedName>
    <definedName name="Kizg2">[19]HOCE_SVETILKE_point!$AM$1</definedName>
    <definedName name="KOKO">#REF!</definedName>
    <definedName name="KonfigTP08">'[20]Elektro del'!$D$49</definedName>
    <definedName name="Konstrukcija">#REF!</definedName>
    <definedName name="Konz_Pod_Svetilka">'[18]Ponudba (2)'!$H$38</definedName>
    <definedName name="konzola_etm_delo">[7]Cenik!$F$97</definedName>
    <definedName name="konzola_etm_nadzor">[7]Cenik!$F$98</definedName>
    <definedName name="konzola1">#REF!</definedName>
    <definedName name="konzola2">#REF!</definedName>
    <definedName name="KPNStareLuci_list">[12]Pripomočki!$H$109:$H$251</definedName>
    <definedName name="LetoRazpisa">[21]Konstante!$C$6</definedName>
    <definedName name="LinijskiR">#REF!</definedName>
    <definedName name="LS_CC">#REF!</definedName>
    <definedName name="LU_GPRS">'[7]Cenik Luminext'!$C$15</definedName>
    <definedName name="LU_OLC">'[7]Cenik Luminext'!$C$10</definedName>
    <definedName name="LU_SC1">'[7]Cenik Luminext'!$C$4</definedName>
    <definedName name="LU_SELC_100">'[7]Cenik Luminext'!$C$27</definedName>
    <definedName name="LU_SELC_150">'[7]Cenik Luminext'!$C$28</definedName>
    <definedName name="LU_SELC_50">'[7]Cenik Luminext'!$C$29</definedName>
    <definedName name="LU_SELC_70">'[7]Cenik Luminext'!$C$30</definedName>
    <definedName name="LumNext_1">#REF!</definedName>
    <definedName name="m">#REF!</definedName>
    <definedName name="mACIEK">#REF!</definedName>
    <definedName name="marzo">'[6]EE-bilanca'!#REF!</definedName>
    <definedName name="MatchIdx">#REF!</definedName>
    <definedName name="MatchIdxP">#REF!</definedName>
    <definedName name="MatchInx">#REF!</definedName>
    <definedName name="mayo">'[6]EE-bilanca'!#REF!</definedName>
    <definedName name="MocNoveLuci_list">[12]Pripomočki!$F$258:$F$314</definedName>
    <definedName name="Nadstropje_list">[12]Pripomočki!$C$68:$C$75</definedName>
    <definedName name="Naloga">#REF!</definedName>
    <definedName name="Namembnost_list">[12]Pripomočki!$C$49:$C$63</definedName>
    <definedName name="Naziv_projekta">#REF!</definedName>
    <definedName name="NazivNoveLuci_list">[12]Pripomočki!$C$258:$C$314</definedName>
    <definedName name="NazivNoveZamenjaveLuciProstor_list">'[12]Zamenjava svetilk'!$O$5:$O$113</definedName>
    <definedName name="NazivStareLuci_list">[12]Pripomočki!$C$109:$C$251</definedName>
    <definedName name="NazivStareLuciProstor_list">'[12]Zamenjava svetilk'!$Q$5:$Q$113</definedName>
    <definedName name="noviembre">'[6]EE-bilanca'!#REF!</definedName>
    <definedName name="NS_ID">[22]Popis!$N$6:$N$63</definedName>
    <definedName name="NS_StevSvetilk">[22]Popis!$M$6:$M$63</definedName>
    <definedName name="NS_TipSijalke">[22]Popis!$P$6:$P$63</definedName>
    <definedName name="NS_TipSvetilke">[22]Popis!$O$6:$O$63</definedName>
    <definedName name="Number_of_Payments" localSheetId="5" hidden="1">MATCH(0.01,End_Bal,-1)+1</definedName>
    <definedName name="Number_of_Payments" localSheetId="6" hidden="1">MATCH(0.01,End_Bal,-1)+1</definedName>
    <definedName name="Number_of_Payments" localSheetId="7" hidden="1">MATCH(0.01,End_Bal,-1)+1</definedName>
    <definedName name="Number_of_Payments" localSheetId="8" hidden="1">MATCH(0.01,End_Bal,-1)+1</definedName>
    <definedName name="Number_of_Payments" localSheetId="9" hidden="1">MATCH(0.01,End_Bal,-1)+1</definedName>
    <definedName name="Number_of_Payments" localSheetId="10" hidden="1">MATCH(0.01,End_Bal,-1)+1</definedName>
    <definedName name="Number_of_Payments" localSheetId="11" hidden="1">MATCH(0.01,End_Bal,-1)+1</definedName>
    <definedName name="Number_of_Payments" localSheetId="12" hidden="1">MATCH(0.01,End_Bal,-1)+1</definedName>
    <definedName name="Number_of_Payments" localSheetId="13" hidden="1">MATCH(0.01,End_Bal,-1)+1</definedName>
    <definedName name="Number_of_Payments" localSheetId="14" hidden="1">MATCH(0.01,End_Bal,-1)+1</definedName>
    <definedName name="Number_of_Payments" hidden="1">MATCH(0.01,End_Bal,-1)+1</definedName>
    <definedName name="NZ">#REF!</definedName>
    <definedName name="o" localSheetId="5" hidden="1">MATCH(0.01,End_Bal,-1)+1</definedName>
    <definedName name="o" localSheetId="6" hidden="1">MATCH(0.01,End_Bal,-1)+1</definedName>
    <definedName name="o" localSheetId="7" hidden="1">MATCH(0.01,End_Bal,-1)+1</definedName>
    <definedName name="o" localSheetId="8" hidden="1">MATCH(0.01,End_Bal,-1)+1</definedName>
    <definedName name="o" localSheetId="9" hidden="1">MATCH(0.01,End_Bal,-1)+1</definedName>
    <definedName name="o" localSheetId="10" hidden="1">MATCH(0.01,End_Bal,-1)+1</definedName>
    <definedName name="o" localSheetId="11" hidden="1">MATCH(0.01,End_Bal,-1)+1</definedName>
    <definedName name="o" localSheetId="12" hidden="1">MATCH(0.01,End_Bal,-1)+1</definedName>
    <definedName name="o" localSheetId="13" hidden="1">MATCH(0.01,End_Bal,-1)+1</definedName>
    <definedName name="o" localSheetId="14" hidden="1">MATCH(0.01,End_Bal,-1)+1</definedName>
    <definedName name="o" hidden="1">MATCH(0.01,End_Bal,-1)+1</definedName>
    <definedName name="objekti">[23]ENERGENTI!$A$9:$AE$121</definedName>
    <definedName name="Obszar_wyd">#REF!</definedName>
    <definedName name="octubre">'[6]EE-bilanca'!#REF!</definedName>
    <definedName name="ogrevanje">#REF!</definedName>
    <definedName name="Ogrevanje1">[24]REK!#REF!</definedName>
    <definedName name="OK">#REF!</definedName>
    <definedName name="OPERA_CENTER">'[7]Cenik Reverberi'!$E$32</definedName>
    <definedName name="OPERA_COM">'[7]Cenik Reverberi'!$E$39</definedName>
    <definedName name="Optika_list">[12]Pripomočki!$C$80:$C$84</definedName>
    <definedName name="Partnerji">#REF!</definedName>
    <definedName name="PETALO_35W">[7]Cenik!$F$9</definedName>
    <definedName name="PETALO_70W">[7]Cenik!$F$12</definedName>
    <definedName name="PletFi10">#REF!</definedName>
    <definedName name="PolicaPK200">#REF!</definedName>
    <definedName name="Popis_NS_ID">[16]!Tabela_Popis[ID2]</definedName>
    <definedName name="Popis_StSijalk">[16]!Tabela_Popis[NSvet2]</definedName>
    <definedName name="Popis_StSvet">[16]!Tabela_Popis[NSvet2]</definedName>
    <definedName name="Popis_TipSijalke">[16]!Tabela_Popis[TipZar2]</definedName>
    <definedName name="Popois_NS_ID">[25]Popis!$Y$5:$Y$760</definedName>
    <definedName name="Postaje_list">[26]Pripomočki!$B$3:$B$6</definedName>
    <definedName name="PPPPP">#REF!</definedName>
    <definedName name="PreferiranaPredstikalna_list">[12]Pripomočki!$E$89:$E$102</definedName>
    <definedName name="PreferiranIzkoristek_Optike_list">[12]Pripomočki!$F$89:$F$102</definedName>
    <definedName name="_xlnm.Print_Area" localSheetId="4">'IS01'!$A$1:$M$95</definedName>
    <definedName name="_xlnm.Print_Area" localSheetId="5">'IS02'!$A$1:$M$95</definedName>
    <definedName name="_xlnm.Print_Area" localSheetId="6">'IS03'!$A$1:$M$95</definedName>
    <definedName name="_xlnm.Print_Area" localSheetId="7">'IS04'!$A$1:$M$95</definedName>
    <definedName name="_xlnm.Print_Area" localSheetId="8">'IS05'!$A$1:$M$95</definedName>
    <definedName name="_xlnm.Print_Area" localSheetId="9">'IS06'!$A$1:$M$95</definedName>
    <definedName name="_xlnm.Print_Area" localSheetId="10">'IS07'!$A$1:$M$95</definedName>
    <definedName name="_xlnm.Print_Area" localSheetId="11">'IS08'!$A$1:$M$95</definedName>
    <definedName name="_xlnm.Print_Area" localSheetId="12">'IS09'!$A$1:$M$95</definedName>
    <definedName name="_xlnm.Print_Area" localSheetId="13">'IS10'!$A$1:$M$95</definedName>
    <definedName name="_xlnm.Print_Area" localSheetId="1">Navodila!$A$1:$H$36</definedName>
    <definedName name="_xlnm.Print_Area" localSheetId="16">ObračunOB01!$A$1:$J$20</definedName>
    <definedName name="_xlnm.Print_Area" localSheetId="2">'Osnovni podatki'!$A$1:$J$40</definedName>
    <definedName name="_xlnm.Print_Area" localSheetId="0">'PROGRAM IZVAJANJA'!$A$1:$I$49</definedName>
    <definedName name="_xlnm.Print_Area" localSheetId="3">'Referenčne količine'!$A$1:$I$13</definedName>
    <definedName name="_xlnm.Print_Area" localSheetId="15">'Skupni zajamčeni prihranki'!$A$1:$P$97</definedName>
    <definedName name="_xlnm.Print_Area" localSheetId="14">'SS01'!$A$1:$AD$95</definedName>
    <definedName name="_xlnm.Print_Area">#REF!</definedName>
    <definedName name="PritrdMat">#REF!</definedName>
    <definedName name="Razvojni_inženirji">#REF!</definedName>
    <definedName name="rbsd">#REF!</definedName>
    <definedName name="Referenčna_raba">#REF!</definedName>
    <definedName name="Renta">#REF!</definedName>
    <definedName name="rer">#REF!</definedName>
    <definedName name="RRRR">#REF!</definedName>
    <definedName name="RVC">#REF!</definedName>
    <definedName name="s">#REF!</definedName>
    <definedName name="SELC_100_KPL">'[7]Cenik Luminext'!$C$36</definedName>
    <definedName name="SELC_150_KPL">'[7]Cenik Luminext'!$C$37</definedName>
    <definedName name="SELC_50_KPL">'[7]Cenik Luminext'!$C$34</definedName>
    <definedName name="SELC_70_KPL">'[7]Cenik Luminext'!$C$35</definedName>
    <definedName name="septiembre">'[6]EE-bilanca'!#REF!</definedName>
    <definedName name="sg">#REF!</definedName>
    <definedName name="SolDnevi">#REF!</definedName>
    <definedName name="solver_adj" localSheetId="4" hidden="1">'IS01'!#REF!</definedName>
    <definedName name="solver_adj" localSheetId="5" hidden="1">'IS02'!#REF!</definedName>
    <definedName name="solver_adj" localSheetId="6" hidden="1">'IS03'!#REF!</definedName>
    <definedName name="solver_adj" localSheetId="7" hidden="1">'IS04'!#REF!</definedName>
    <definedName name="solver_adj" localSheetId="8" hidden="1">'IS05'!#REF!</definedName>
    <definedName name="solver_adj" localSheetId="9" hidden="1">'IS06'!#REF!</definedName>
    <definedName name="solver_adj" localSheetId="10" hidden="1">'IS07'!#REF!</definedName>
    <definedName name="solver_adj" localSheetId="11" hidden="1">'IS08'!#REF!</definedName>
    <definedName name="solver_adj" localSheetId="12" hidden="1">'IS09'!#REF!</definedName>
    <definedName name="solver_adj" localSheetId="13" hidden="1">'IS10'!#REF!</definedName>
    <definedName name="solver_cvg" localSheetId="4" hidden="1">0.0001</definedName>
    <definedName name="solver_cvg" localSheetId="5" hidden="1">0.0001</definedName>
    <definedName name="solver_cvg" localSheetId="6" hidden="1">0.0001</definedName>
    <definedName name="solver_cvg" localSheetId="7" hidden="1">0.0001</definedName>
    <definedName name="solver_cvg" localSheetId="8" hidden="1">0.0001</definedName>
    <definedName name="solver_cvg" localSheetId="9" hidden="1">0.0001</definedName>
    <definedName name="solver_cvg" localSheetId="10" hidden="1">0.0001</definedName>
    <definedName name="solver_cvg" localSheetId="11" hidden="1">0.0001</definedName>
    <definedName name="solver_cvg" localSheetId="12" hidden="1">0.0001</definedName>
    <definedName name="solver_cvg" localSheetId="13" hidden="1">0.0001</definedName>
    <definedName name="solver_drv" localSheetId="4" hidden="1">1</definedName>
    <definedName name="solver_drv" localSheetId="5" hidden="1">1</definedName>
    <definedName name="solver_drv" localSheetId="6" hidden="1">1</definedName>
    <definedName name="solver_drv" localSheetId="7" hidden="1">1</definedName>
    <definedName name="solver_drv" localSheetId="8" hidden="1">1</definedName>
    <definedName name="solver_drv" localSheetId="9" hidden="1">1</definedName>
    <definedName name="solver_drv" localSheetId="10" hidden="1">1</definedName>
    <definedName name="solver_drv" localSheetId="11" hidden="1">1</definedName>
    <definedName name="solver_drv" localSheetId="12" hidden="1">1</definedName>
    <definedName name="solver_drv" localSheetId="13" hidden="1">1</definedName>
    <definedName name="solver_eng" localSheetId="4" hidden="1">1</definedName>
    <definedName name="solver_eng" localSheetId="5" hidden="1">1</definedName>
    <definedName name="solver_eng" localSheetId="6" hidden="1">1</definedName>
    <definedName name="solver_eng" localSheetId="7" hidden="1">1</definedName>
    <definedName name="solver_eng" localSheetId="8" hidden="1">1</definedName>
    <definedName name="solver_eng" localSheetId="9" hidden="1">1</definedName>
    <definedName name="solver_eng" localSheetId="10" hidden="1">1</definedName>
    <definedName name="solver_eng" localSheetId="11" hidden="1">1</definedName>
    <definedName name="solver_eng" localSheetId="12" hidden="1">1</definedName>
    <definedName name="solver_eng" localSheetId="13" hidden="1">1</definedName>
    <definedName name="solver_est" localSheetId="4" hidden="1">1</definedName>
    <definedName name="solver_est" localSheetId="5" hidden="1">1</definedName>
    <definedName name="solver_est" localSheetId="6" hidden="1">1</definedName>
    <definedName name="solver_est" localSheetId="7" hidden="1">1</definedName>
    <definedName name="solver_est" localSheetId="8" hidden="1">1</definedName>
    <definedName name="solver_est" localSheetId="9" hidden="1">1</definedName>
    <definedName name="solver_est" localSheetId="10" hidden="1">1</definedName>
    <definedName name="solver_est" localSheetId="11" hidden="1">1</definedName>
    <definedName name="solver_est" localSheetId="12" hidden="1">1</definedName>
    <definedName name="solver_est" localSheetId="13" hidden="1">1</definedName>
    <definedName name="solver_itr" localSheetId="4" hidden="1">2147483647</definedName>
    <definedName name="solver_itr" localSheetId="5" hidden="1">2147483647</definedName>
    <definedName name="solver_itr" localSheetId="6" hidden="1">2147483647</definedName>
    <definedName name="solver_itr" localSheetId="7" hidden="1">2147483647</definedName>
    <definedName name="solver_itr" localSheetId="8" hidden="1">2147483647</definedName>
    <definedName name="solver_itr" localSheetId="9" hidden="1">2147483647</definedName>
    <definedName name="solver_itr" localSheetId="10" hidden="1">2147483647</definedName>
    <definedName name="solver_itr" localSheetId="11" hidden="1">2147483647</definedName>
    <definedName name="solver_itr" localSheetId="12" hidden="1">2147483647</definedName>
    <definedName name="solver_itr" localSheetId="13" hidden="1">2147483647</definedName>
    <definedName name="solver_mip" localSheetId="4" hidden="1">2147483647</definedName>
    <definedName name="solver_mip" localSheetId="5" hidden="1">2147483647</definedName>
    <definedName name="solver_mip" localSheetId="6" hidden="1">2147483647</definedName>
    <definedName name="solver_mip" localSheetId="7" hidden="1">2147483647</definedName>
    <definedName name="solver_mip" localSheetId="8" hidden="1">2147483647</definedName>
    <definedName name="solver_mip" localSheetId="9" hidden="1">2147483647</definedName>
    <definedName name="solver_mip" localSheetId="10" hidden="1">2147483647</definedName>
    <definedName name="solver_mip" localSheetId="11" hidden="1">2147483647</definedName>
    <definedName name="solver_mip" localSheetId="12" hidden="1">2147483647</definedName>
    <definedName name="solver_mip" localSheetId="13" hidden="1">2147483647</definedName>
    <definedName name="solver_mni" localSheetId="4" hidden="1">30</definedName>
    <definedName name="solver_mni" localSheetId="5" hidden="1">30</definedName>
    <definedName name="solver_mni" localSheetId="6" hidden="1">30</definedName>
    <definedName name="solver_mni" localSheetId="7" hidden="1">30</definedName>
    <definedName name="solver_mni" localSheetId="8" hidden="1">30</definedName>
    <definedName name="solver_mni" localSheetId="9" hidden="1">30</definedName>
    <definedName name="solver_mni" localSheetId="10" hidden="1">30</definedName>
    <definedName name="solver_mni" localSheetId="11" hidden="1">30</definedName>
    <definedName name="solver_mni" localSheetId="12" hidden="1">30</definedName>
    <definedName name="solver_mni" localSheetId="13" hidden="1">30</definedName>
    <definedName name="solver_mrt" localSheetId="4" hidden="1">0.075</definedName>
    <definedName name="solver_mrt" localSheetId="5" hidden="1">0.075</definedName>
    <definedName name="solver_mrt" localSheetId="6" hidden="1">0.075</definedName>
    <definedName name="solver_mrt" localSheetId="7" hidden="1">0.075</definedName>
    <definedName name="solver_mrt" localSheetId="8" hidden="1">0.075</definedName>
    <definedName name="solver_mrt" localSheetId="9" hidden="1">0.075</definedName>
    <definedName name="solver_mrt" localSheetId="10" hidden="1">0.075</definedName>
    <definedName name="solver_mrt" localSheetId="11" hidden="1">0.075</definedName>
    <definedName name="solver_mrt" localSheetId="12" hidden="1">0.075</definedName>
    <definedName name="solver_mrt" localSheetId="13" hidden="1">0.075</definedName>
    <definedName name="solver_msl" localSheetId="4" hidden="1">2</definedName>
    <definedName name="solver_msl" localSheetId="5" hidden="1">2</definedName>
    <definedName name="solver_msl" localSheetId="6" hidden="1">2</definedName>
    <definedName name="solver_msl" localSheetId="7" hidden="1">2</definedName>
    <definedName name="solver_msl" localSheetId="8" hidden="1">2</definedName>
    <definedName name="solver_msl" localSheetId="9" hidden="1">2</definedName>
    <definedName name="solver_msl" localSheetId="10" hidden="1">2</definedName>
    <definedName name="solver_msl" localSheetId="11" hidden="1">2</definedName>
    <definedName name="solver_msl" localSheetId="12" hidden="1">2</definedName>
    <definedName name="solver_msl" localSheetId="13" hidden="1">2</definedName>
    <definedName name="solver_neg" localSheetId="4" hidden="1">1</definedName>
    <definedName name="solver_neg" localSheetId="5" hidden="1">1</definedName>
    <definedName name="solver_neg" localSheetId="6" hidden="1">1</definedName>
    <definedName name="solver_neg" localSheetId="7" hidden="1">1</definedName>
    <definedName name="solver_neg" localSheetId="8" hidden="1">1</definedName>
    <definedName name="solver_neg" localSheetId="9" hidden="1">1</definedName>
    <definedName name="solver_neg" localSheetId="10" hidden="1">1</definedName>
    <definedName name="solver_neg" localSheetId="11" hidden="1">1</definedName>
    <definedName name="solver_neg" localSheetId="12" hidden="1">1</definedName>
    <definedName name="solver_neg" localSheetId="13" hidden="1">1</definedName>
    <definedName name="solver_nod" localSheetId="4" hidden="1">2147483647</definedName>
    <definedName name="solver_nod" localSheetId="5" hidden="1">2147483647</definedName>
    <definedName name="solver_nod" localSheetId="6" hidden="1">2147483647</definedName>
    <definedName name="solver_nod" localSheetId="7" hidden="1">2147483647</definedName>
    <definedName name="solver_nod" localSheetId="8" hidden="1">2147483647</definedName>
    <definedName name="solver_nod" localSheetId="9" hidden="1">2147483647</definedName>
    <definedName name="solver_nod" localSheetId="10" hidden="1">2147483647</definedName>
    <definedName name="solver_nod" localSheetId="11" hidden="1">2147483647</definedName>
    <definedName name="solver_nod" localSheetId="12" hidden="1">2147483647</definedName>
    <definedName name="solver_nod" localSheetId="13" hidden="1">2147483647</definedName>
    <definedName name="solver_num" localSheetId="4" hidden="1">0</definedName>
    <definedName name="solver_num" localSheetId="5" hidden="1">0</definedName>
    <definedName name="solver_num" localSheetId="6" hidden="1">0</definedName>
    <definedName name="solver_num" localSheetId="7" hidden="1">0</definedName>
    <definedName name="solver_num" localSheetId="8" hidden="1">0</definedName>
    <definedName name="solver_num" localSheetId="9" hidden="1">0</definedName>
    <definedName name="solver_num" localSheetId="10" hidden="1">0</definedName>
    <definedName name="solver_num" localSheetId="11" hidden="1">0</definedName>
    <definedName name="solver_num" localSheetId="12" hidden="1">0</definedName>
    <definedName name="solver_num" localSheetId="13" hidden="1">0</definedName>
    <definedName name="solver_nwt" localSheetId="4" hidden="1">1</definedName>
    <definedName name="solver_nwt" localSheetId="5" hidden="1">1</definedName>
    <definedName name="solver_nwt" localSheetId="6" hidden="1">1</definedName>
    <definedName name="solver_nwt" localSheetId="7" hidden="1">1</definedName>
    <definedName name="solver_nwt" localSheetId="8" hidden="1">1</definedName>
    <definedName name="solver_nwt" localSheetId="9" hidden="1">1</definedName>
    <definedName name="solver_nwt" localSheetId="10" hidden="1">1</definedName>
    <definedName name="solver_nwt" localSheetId="11" hidden="1">1</definedName>
    <definedName name="solver_nwt" localSheetId="12" hidden="1">1</definedName>
    <definedName name="solver_nwt" localSheetId="13" hidden="1">1</definedName>
    <definedName name="solver_opt" localSheetId="4" hidden="1">'IS01'!$G$17</definedName>
    <definedName name="solver_opt" localSheetId="5" hidden="1">'IS02'!$G$17</definedName>
    <definedName name="solver_opt" localSheetId="6" hidden="1">'IS03'!$G$17</definedName>
    <definedName name="solver_opt" localSheetId="7" hidden="1">'IS04'!$G$17</definedName>
    <definedName name="solver_opt" localSheetId="8" hidden="1">'IS05'!$G$17</definedName>
    <definedName name="solver_opt" localSheetId="9" hidden="1">'IS06'!$G$17</definedName>
    <definedName name="solver_opt" localSheetId="10" hidden="1">'IS07'!$G$17</definedName>
    <definedName name="solver_opt" localSheetId="11" hidden="1">'IS08'!$G$17</definedName>
    <definedName name="solver_opt" localSheetId="12" hidden="1">'IS09'!$G$17</definedName>
    <definedName name="solver_opt" localSheetId="13" hidden="1">'IS10'!$G$17</definedName>
    <definedName name="solver_pre" localSheetId="4" hidden="1">0.000001</definedName>
    <definedName name="solver_pre" localSheetId="5" hidden="1">0.000001</definedName>
    <definedName name="solver_pre" localSheetId="6" hidden="1">0.000001</definedName>
    <definedName name="solver_pre" localSheetId="7" hidden="1">0.000001</definedName>
    <definedName name="solver_pre" localSheetId="8" hidden="1">0.000001</definedName>
    <definedName name="solver_pre" localSheetId="9" hidden="1">0.000001</definedName>
    <definedName name="solver_pre" localSheetId="10" hidden="1">0.000001</definedName>
    <definedName name="solver_pre" localSheetId="11" hidden="1">0.000001</definedName>
    <definedName name="solver_pre" localSheetId="12" hidden="1">0.000001</definedName>
    <definedName name="solver_pre" localSheetId="13" hidden="1">0.000001</definedName>
    <definedName name="solver_rbv" localSheetId="4" hidden="1">1</definedName>
    <definedName name="solver_rbv" localSheetId="5" hidden="1">1</definedName>
    <definedName name="solver_rbv" localSheetId="6" hidden="1">1</definedName>
    <definedName name="solver_rbv" localSheetId="7" hidden="1">1</definedName>
    <definedName name="solver_rbv" localSheetId="8" hidden="1">1</definedName>
    <definedName name="solver_rbv" localSheetId="9" hidden="1">1</definedName>
    <definedName name="solver_rbv" localSheetId="10" hidden="1">1</definedName>
    <definedName name="solver_rbv" localSheetId="11" hidden="1">1</definedName>
    <definedName name="solver_rbv" localSheetId="12" hidden="1">1</definedName>
    <definedName name="solver_rbv" localSheetId="13" hidden="1">1</definedName>
    <definedName name="solver_rlx" localSheetId="4" hidden="1">2</definedName>
    <definedName name="solver_rlx" localSheetId="5" hidden="1">2</definedName>
    <definedName name="solver_rlx" localSheetId="6" hidden="1">2</definedName>
    <definedName name="solver_rlx" localSheetId="7" hidden="1">2</definedName>
    <definedName name="solver_rlx" localSheetId="8" hidden="1">2</definedName>
    <definedName name="solver_rlx" localSheetId="9" hidden="1">2</definedName>
    <definedName name="solver_rlx" localSheetId="10" hidden="1">2</definedName>
    <definedName name="solver_rlx" localSheetId="11" hidden="1">2</definedName>
    <definedName name="solver_rlx" localSheetId="12" hidden="1">2</definedName>
    <definedName name="solver_rlx" localSheetId="13" hidden="1">2</definedName>
    <definedName name="solver_rsd" localSheetId="4" hidden="1">0</definedName>
    <definedName name="solver_rsd" localSheetId="5" hidden="1">0</definedName>
    <definedName name="solver_rsd" localSheetId="6" hidden="1">0</definedName>
    <definedName name="solver_rsd" localSheetId="7" hidden="1">0</definedName>
    <definedName name="solver_rsd" localSheetId="8" hidden="1">0</definedName>
    <definedName name="solver_rsd" localSheetId="9" hidden="1">0</definedName>
    <definedName name="solver_rsd" localSheetId="10" hidden="1">0</definedName>
    <definedName name="solver_rsd" localSheetId="11" hidden="1">0</definedName>
    <definedName name="solver_rsd" localSheetId="12" hidden="1">0</definedName>
    <definedName name="solver_rsd" localSheetId="13" hidden="1">0</definedName>
    <definedName name="solver_scl" localSheetId="4" hidden="1">1</definedName>
    <definedName name="solver_scl" localSheetId="5" hidden="1">1</definedName>
    <definedName name="solver_scl" localSheetId="6" hidden="1">1</definedName>
    <definedName name="solver_scl" localSheetId="7" hidden="1">1</definedName>
    <definedName name="solver_scl" localSheetId="8" hidden="1">1</definedName>
    <definedName name="solver_scl" localSheetId="9" hidden="1">1</definedName>
    <definedName name="solver_scl" localSheetId="10" hidden="1">1</definedName>
    <definedName name="solver_scl" localSheetId="11" hidden="1">1</definedName>
    <definedName name="solver_scl" localSheetId="12" hidden="1">1</definedName>
    <definedName name="solver_scl" localSheetId="13" hidden="1">1</definedName>
    <definedName name="solver_sho" localSheetId="4" hidden="1">2</definedName>
    <definedName name="solver_sho" localSheetId="5" hidden="1">2</definedName>
    <definedName name="solver_sho" localSheetId="6" hidden="1">2</definedName>
    <definedName name="solver_sho" localSheetId="7" hidden="1">2</definedName>
    <definedName name="solver_sho" localSheetId="8" hidden="1">2</definedName>
    <definedName name="solver_sho" localSheetId="9" hidden="1">2</definedName>
    <definedName name="solver_sho" localSheetId="10" hidden="1">2</definedName>
    <definedName name="solver_sho" localSheetId="11" hidden="1">2</definedName>
    <definedName name="solver_sho" localSheetId="12" hidden="1">2</definedName>
    <definedName name="solver_sho" localSheetId="13" hidden="1">2</definedName>
    <definedName name="solver_ssz" localSheetId="4" hidden="1">100</definedName>
    <definedName name="solver_ssz" localSheetId="5" hidden="1">100</definedName>
    <definedName name="solver_ssz" localSheetId="6" hidden="1">100</definedName>
    <definedName name="solver_ssz" localSheetId="7" hidden="1">100</definedName>
    <definedName name="solver_ssz" localSheetId="8" hidden="1">100</definedName>
    <definedName name="solver_ssz" localSheetId="9" hidden="1">100</definedName>
    <definedName name="solver_ssz" localSheetId="10" hidden="1">100</definedName>
    <definedName name="solver_ssz" localSheetId="11" hidden="1">100</definedName>
    <definedName name="solver_ssz" localSheetId="12" hidden="1">100</definedName>
    <definedName name="solver_ssz" localSheetId="13" hidden="1">100</definedName>
    <definedName name="solver_tim" localSheetId="4" hidden="1">2147483647</definedName>
    <definedName name="solver_tim" localSheetId="5" hidden="1">2147483647</definedName>
    <definedName name="solver_tim" localSheetId="6" hidden="1">2147483647</definedName>
    <definedName name="solver_tim" localSheetId="7" hidden="1">2147483647</definedName>
    <definedName name="solver_tim" localSheetId="8" hidden="1">2147483647</definedName>
    <definedName name="solver_tim" localSheetId="9" hidden="1">2147483647</definedName>
    <definedName name="solver_tim" localSheetId="10" hidden="1">2147483647</definedName>
    <definedName name="solver_tim" localSheetId="11" hidden="1">2147483647</definedName>
    <definedName name="solver_tim" localSheetId="12" hidden="1">2147483647</definedName>
    <definedName name="solver_tim" localSheetId="13" hidden="1">2147483647</definedName>
    <definedName name="solver_tol" localSheetId="4" hidden="1">0.01</definedName>
    <definedName name="solver_tol" localSheetId="5" hidden="1">0.01</definedName>
    <definedName name="solver_tol" localSheetId="6" hidden="1">0.01</definedName>
    <definedName name="solver_tol" localSheetId="7" hidden="1">0.01</definedName>
    <definedName name="solver_tol" localSheetId="8" hidden="1">0.01</definedName>
    <definedName name="solver_tol" localSheetId="9" hidden="1">0.01</definedName>
    <definedName name="solver_tol" localSheetId="10" hidden="1">0.01</definedName>
    <definedName name="solver_tol" localSheetId="11" hidden="1">0.01</definedName>
    <definedName name="solver_tol" localSheetId="12" hidden="1">0.01</definedName>
    <definedName name="solver_tol" localSheetId="13" hidden="1">0.01</definedName>
    <definedName name="solver_typ" localSheetId="4" hidden="1">3</definedName>
    <definedName name="solver_typ" localSheetId="5" hidden="1">3</definedName>
    <definedName name="solver_typ" localSheetId="6" hidden="1">3</definedName>
    <definedName name="solver_typ" localSheetId="7" hidden="1">3</definedName>
    <definedName name="solver_typ" localSheetId="8" hidden="1">3</definedName>
    <definedName name="solver_typ" localSheetId="9" hidden="1">3</definedName>
    <definedName name="solver_typ" localSheetId="10" hidden="1">3</definedName>
    <definedName name="solver_typ" localSheetId="11" hidden="1">3</definedName>
    <definedName name="solver_typ" localSheetId="12" hidden="1">3</definedName>
    <definedName name="solver_typ" localSheetId="13" hidden="1">3</definedName>
    <definedName name="solver_val" localSheetId="4" hidden="1">0</definedName>
    <definedName name="solver_val" localSheetId="5" hidden="1">0</definedName>
    <definedName name="solver_val" localSheetId="6" hidden="1">0</definedName>
    <definedName name="solver_val" localSheetId="7" hidden="1">0</definedName>
    <definedName name="solver_val" localSheetId="8" hidden="1">0</definedName>
    <definedName name="solver_val" localSheetId="9" hidden="1">0</definedName>
    <definedName name="solver_val" localSheetId="10" hidden="1">0</definedName>
    <definedName name="solver_val" localSheetId="11" hidden="1">0</definedName>
    <definedName name="solver_val" localSheetId="12" hidden="1">0</definedName>
    <definedName name="solver_val" localSheetId="13" hidden="1">0</definedName>
    <definedName name="solver_ver" localSheetId="4" hidden="1">3</definedName>
    <definedName name="solver_ver" localSheetId="5" hidden="1">3</definedName>
    <definedName name="solver_ver" localSheetId="6" hidden="1">3</definedName>
    <definedName name="solver_ver" localSheetId="7" hidden="1">3</definedName>
    <definedName name="solver_ver" localSheetId="8" hidden="1">3</definedName>
    <definedName name="solver_ver" localSheetId="9" hidden="1">3</definedName>
    <definedName name="solver_ver" localSheetId="10" hidden="1">3</definedName>
    <definedName name="solver_ver" localSheetId="11" hidden="1">3</definedName>
    <definedName name="solver_ver" localSheetId="12" hidden="1">3</definedName>
    <definedName name="solver_ver" localSheetId="13" hidden="1">3</definedName>
    <definedName name="Stavbe_list">[12]Pripomočki!$C$39:$C$44</definedName>
    <definedName name="STR">#REF!</definedName>
    <definedName name="SvetilnostNoveLuci_list">[12]Pripomočki!$G$258:$G$314</definedName>
    <definedName name="SvetilnostStareLuci_list">[12]Pripomočki!$F$109:$F$251</definedName>
    <definedName name="SW_LX">'[7]Cenik Luminext'!$C$55</definedName>
    <definedName name="t">#REF!</definedName>
    <definedName name="TargetVal">#REF!</definedName>
    <definedName name="TargetVal_P">#REF!</definedName>
    <definedName name="TargetValP">#REF!</definedName>
    <definedName name="te">#REF!</definedName>
    <definedName name="test">#REF!</definedName>
    <definedName name="TGA">#REF!</definedName>
    <definedName name="THO">#REF!</definedName>
    <definedName name="TipSvetila_list">[12]Pripomočki!$C$89:$C$102</definedName>
    <definedName name="Tjr">[19]HOCE_SVETILKE_point!$X$1</definedName>
    <definedName name="TKL">#REF!</definedName>
    <definedName name="TKO">#REF!</definedName>
    <definedName name="TLA">#REF!</definedName>
    <definedName name="TP08_crpalke">'[20]Elektro del'!$H$168</definedName>
    <definedName name="TP08_IO">'[20]Elektro del'!$J$167</definedName>
    <definedName name="TST">#REF!</definedName>
    <definedName name="TVE">#REF!</definedName>
    <definedName name="typ">[27]Oznaczenia!$A$2:$A$19</definedName>
    <definedName name="TZ">#REF!</definedName>
    <definedName name="tzjhnsdttejnnjwtnwt">#REF!</definedName>
    <definedName name="Ukrepi_2">'[28]1.0 Energenti'!#REF!</definedName>
    <definedName name="Ukrepi_3">'[5]1.0 Energenti'!$BR$4:$BR$10</definedName>
    <definedName name="ulica">[2]Pipe!#REF!</definedName>
    <definedName name="Uprofil">#REF!</definedName>
    <definedName name="Ur_svetenja_list">[12]Pripomočki!$D$49:$D$63</definedName>
    <definedName name="ure">[29]OM_HOCE!$Y$1</definedName>
    <definedName name="Ure_leto">[10]REKAPITULACIJA!$C$40</definedName>
    <definedName name="UreLetno">[30]Popis!$L$1</definedName>
    <definedName name="UreLeto">[16]PopisGOLEA!$X$1</definedName>
    <definedName name="UVals">#REF!</definedName>
    <definedName name="valves">#REF!</definedName>
    <definedName name="Vgradnja_list">[12]Pripomočki!$C$27:$C$34</definedName>
    <definedName name="Vodja_razvoja_projekta">#REF!</definedName>
    <definedName name="Vticnica">#REF!</definedName>
    <definedName name="water_heat_meters">#REF!</definedName>
    <definedName name="X">#REF!</definedName>
    <definedName name="XDO_?XDOFIELD46?">[31]Data!$C$14</definedName>
    <definedName name="XDO_?XDOFIELD47?">[31]Data!$C$15</definedName>
    <definedName name="XDO_?XDOFIELD48?">[31]Data!$C$16</definedName>
    <definedName name="XDO_?XDOFIELD49?">[31]Data!$C$17</definedName>
    <definedName name="XDO_?XDOFIELD50?">[31]Data!$C$19</definedName>
    <definedName name="XDO_?XDOFIELD51?">[31]Data!$C$20</definedName>
    <definedName name="XVals">#REF!</definedName>
    <definedName name="y">#REF!</definedName>
    <definedName name="Year_list">[26]Pripomočki!$F$3:$F$12</definedName>
    <definedName name="YVals">#REF!</definedName>
    <definedName name="ZamenjavaŠtevilo_list">'[12]Zamenjava svetilk'!$P$5:$P$111</definedName>
    <definedName name="ZEROAURA_100W">[7]Cenik!$F$6</definedName>
    <definedName name="ZEROAURA_70W">[7]Cenik!$F$3</definedName>
    <definedName name="ZivDobaSvetila_list">[12]Pripomočki!$D$89:$D$102</definedName>
    <definedName name="ZivljenskaNoveLuci_list">[12]Pripomočki!$H$258:$H$314</definedName>
    <definedName name="ZV">#REF!</definedName>
    <definedName name="ZVals">#REF!</definedName>
    <definedName name="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34" l="1"/>
  <c r="D8" i="34"/>
  <c r="D10" i="34"/>
  <c r="D12" i="34"/>
  <c r="D16" i="34"/>
  <c r="D18" i="34" s="1"/>
  <c r="D21" i="34"/>
  <c r="D36" i="34"/>
  <c r="D37" i="34"/>
  <c r="D38" i="34"/>
  <c r="D39" i="34"/>
  <c r="G58" i="34"/>
  <c r="J60" i="34"/>
  <c r="K61" i="34"/>
  <c r="K62" i="34" s="1"/>
  <c r="J60" i="7"/>
  <c r="J60" i="26"/>
  <c r="AB39" i="26" s="1"/>
  <c r="J60" i="37"/>
  <c r="J60" i="35"/>
  <c r="J60" i="33"/>
  <c r="J60" i="32"/>
  <c r="J60" i="31"/>
  <c r="J60" i="30"/>
  <c r="J60" i="29"/>
  <c r="J60" i="28"/>
  <c r="D21" i="5"/>
  <c r="D31" i="5" s="1"/>
  <c r="E11" i="5"/>
  <c r="F11" i="5" s="1"/>
  <c r="G11" i="5" s="1"/>
  <c r="H11" i="5" s="1"/>
  <c r="I11" i="5" s="1"/>
  <c r="J11" i="5" s="1"/>
  <c r="K11" i="5" s="1"/>
  <c r="L11" i="5" s="1"/>
  <c r="M11" i="5" s="1"/>
  <c r="E55" i="34" l="1"/>
  <c r="L61" i="34" s="1"/>
  <c r="D20" i="34"/>
  <c r="E58" i="34"/>
  <c r="K63" i="34"/>
  <c r="D26" i="34"/>
  <c r="G55" i="34" s="1"/>
  <c r="D34" i="34"/>
  <c r="D29" i="34"/>
  <c r="K64" i="34"/>
  <c r="AB38" i="26"/>
  <c r="D41" i="5"/>
  <c r="E41" i="5" s="1"/>
  <c r="F41" i="5" s="1"/>
  <c r="G41" i="5" s="1"/>
  <c r="H41" i="5" s="1"/>
  <c r="I41" i="5" s="1"/>
  <c r="E31" i="5"/>
  <c r="F31" i="5" s="1"/>
  <c r="G31" i="5" s="1"/>
  <c r="H31" i="5" s="1"/>
  <c r="I31" i="5" s="1"/>
  <c r="J31" i="5" s="1"/>
  <c r="K31" i="5" s="1"/>
  <c r="L31" i="5" s="1"/>
  <c r="M31" i="5" s="1"/>
  <c r="E21" i="5"/>
  <c r="F21" i="5" s="1"/>
  <c r="G21" i="5" s="1"/>
  <c r="H21" i="5" s="1"/>
  <c r="I21" i="5" s="1"/>
  <c r="J21" i="5" s="1"/>
  <c r="K21" i="5" s="1"/>
  <c r="L21" i="5" s="1"/>
  <c r="M21" i="5" s="1"/>
  <c r="AB16" i="26"/>
  <c r="AB7" i="26" a="1"/>
  <c r="AB7" i="26" s="1"/>
  <c r="AB12" i="26" l="1"/>
  <c r="M61" i="34"/>
  <c r="L64" i="34"/>
  <c r="M64" i="34" s="1"/>
  <c r="K65" i="34"/>
  <c r="L62" i="34"/>
  <c r="M62" i="34" s="1"/>
  <c r="L63" i="34"/>
  <c r="M63" i="34"/>
  <c r="D40" i="34"/>
  <c r="F58" i="34"/>
  <c r="C68" i="34"/>
  <c r="D68" i="34" s="1"/>
  <c r="C71" i="34"/>
  <c r="D71" i="34" s="1"/>
  <c r="C64" i="34"/>
  <c r="D64" i="34" s="1"/>
  <c r="C76" i="34"/>
  <c r="D76" i="34" s="1"/>
  <c r="C69" i="34"/>
  <c r="D69" i="34" s="1"/>
  <c r="C75" i="34"/>
  <c r="D75" i="34" s="1"/>
  <c r="C73" i="34"/>
  <c r="D73" i="34" s="1"/>
  <c r="C66" i="34"/>
  <c r="D66" i="34" s="1"/>
  <c r="C74" i="34"/>
  <c r="D74" i="34" s="1"/>
  <c r="C72" i="34"/>
  <c r="D72" i="34" s="1"/>
  <c r="C70" i="34"/>
  <c r="D70" i="34" s="1"/>
  <c r="C63" i="34"/>
  <c r="C67" i="34"/>
  <c r="D67" i="34" s="1"/>
  <c r="C65" i="34"/>
  <c r="D65" i="34" s="1"/>
  <c r="C77" i="34"/>
  <c r="D77" i="34" s="1"/>
  <c r="AB29" i="26"/>
  <c r="AB21" i="26"/>
  <c r="AB20" i="26" s="1"/>
  <c r="AB40" i="26" s="1"/>
  <c r="O39" i="7"/>
  <c r="K61" i="7"/>
  <c r="K62" i="7" s="1"/>
  <c r="M31" i="7"/>
  <c r="L31" i="7"/>
  <c r="K31" i="7"/>
  <c r="J31" i="7"/>
  <c r="I31" i="7"/>
  <c r="H31" i="7"/>
  <c r="G31" i="7"/>
  <c r="F31" i="7"/>
  <c r="E31" i="7"/>
  <c r="D31" i="7"/>
  <c r="M28" i="7"/>
  <c r="L28" i="7"/>
  <c r="K28" i="7"/>
  <c r="J28" i="7"/>
  <c r="I28" i="7"/>
  <c r="H28" i="7"/>
  <c r="G28" i="7"/>
  <c r="F28" i="7"/>
  <c r="E28" i="7"/>
  <c r="D28" i="7"/>
  <c r="M25" i="7"/>
  <c r="L25" i="7"/>
  <c r="K25" i="7"/>
  <c r="J25" i="7"/>
  <c r="I25" i="7"/>
  <c r="H25" i="7"/>
  <c r="G25" i="7"/>
  <c r="F25" i="7"/>
  <c r="E25" i="7"/>
  <c r="D25" i="7"/>
  <c r="M19" i="7"/>
  <c r="L19" i="7"/>
  <c r="K19" i="7"/>
  <c r="J19" i="7"/>
  <c r="I19" i="7"/>
  <c r="H19" i="7"/>
  <c r="G19" i="7"/>
  <c r="F19" i="7"/>
  <c r="E19" i="7"/>
  <c r="D19" i="7"/>
  <c r="M14" i="7"/>
  <c r="L14" i="7"/>
  <c r="K14" i="7"/>
  <c r="J14" i="7"/>
  <c r="I14" i="7"/>
  <c r="H14" i="7"/>
  <c r="G14" i="7"/>
  <c r="F14" i="7"/>
  <c r="E14" i="7"/>
  <c r="D14" i="7"/>
  <c r="M11" i="7"/>
  <c r="L11" i="7"/>
  <c r="K11" i="7"/>
  <c r="J11" i="7"/>
  <c r="I11" i="7"/>
  <c r="H11" i="7"/>
  <c r="G11" i="7"/>
  <c r="F11" i="7"/>
  <c r="E11" i="7"/>
  <c r="D11" i="7"/>
  <c r="N8" i="7"/>
  <c r="N6" i="7"/>
  <c r="M6" i="7"/>
  <c r="L6" i="7"/>
  <c r="K6" i="7"/>
  <c r="J6" i="7"/>
  <c r="I6" i="7"/>
  <c r="H6" i="7"/>
  <c r="G6" i="7"/>
  <c r="F6" i="7"/>
  <c r="E6" i="7"/>
  <c r="D6" i="7"/>
  <c r="K61" i="26"/>
  <c r="K62" i="26" s="1"/>
  <c r="AD39" i="26"/>
  <c r="N39" i="7" s="1"/>
  <c r="AC39" i="26"/>
  <c r="AA39" i="26"/>
  <c r="Z39" i="26"/>
  <c r="Y39" i="26"/>
  <c r="X39" i="26"/>
  <c r="W39" i="26"/>
  <c r="V39" i="26"/>
  <c r="U39" i="26"/>
  <c r="T39" i="26"/>
  <c r="S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E39" i="26"/>
  <c r="D39" i="26"/>
  <c r="AC16" i="26"/>
  <c r="AA16" i="26"/>
  <c r="Z16" i="26"/>
  <c r="Y16" i="26"/>
  <c r="X16" i="26"/>
  <c r="W16" i="26"/>
  <c r="V16" i="26"/>
  <c r="U16" i="26"/>
  <c r="T16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E38" i="26"/>
  <c r="F38" i="26"/>
  <c r="G38" i="26"/>
  <c r="H38" i="26"/>
  <c r="I38" i="26"/>
  <c r="J38" i="26"/>
  <c r="K38" i="26"/>
  <c r="L38" i="26"/>
  <c r="M38" i="26"/>
  <c r="N38" i="26"/>
  <c r="O38" i="26"/>
  <c r="P38" i="26"/>
  <c r="Q38" i="26"/>
  <c r="R38" i="26"/>
  <c r="S38" i="26"/>
  <c r="T38" i="26"/>
  <c r="U38" i="26"/>
  <c r="V38" i="26"/>
  <c r="W38" i="26"/>
  <c r="X38" i="26"/>
  <c r="Y38" i="26"/>
  <c r="Z38" i="26"/>
  <c r="AA38" i="26"/>
  <c r="AC38" i="26"/>
  <c r="D38" i="26"/>
  <c r="AD7" i="26"/>
  <c r="N7" i="7" s="1"/>
  <c r="AC7" i="26"/>
  <c r="AA7" i="26"/>
  <c r="Z7" i="26"/>
  <c r="Y7" i="26"/>
  <c r="X7" i="26"/>
  <c r="W7" i="26"/>
  <c r="V7" i="26"/>
  <c r="U7" i="26"/>
  <c r="T7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K61" i="37"/>
  <c r="K62" i="37" s="1"/>
  <c r="D39" i="37"/>
  <c r="M39" i="7" s="1"/>
  <c r="D38" i="37"/>
  <c r="M38" i="7" s="1"/>
  <c r="D16" i="37"/>
  <c r="D21" i="37" s="1"/>
  <c r="G58" i="37" s="1"/>
  <c r="D7" i="37"/>
  <c r="M7" i="7" s="1"/>
  <c r="K61" i="35"/>
  <c r="K62" i="35" s="1"/>
  <c r="D39" i="35"/>
  <c r="L39" i="7" s="1"/>
  <c r="D38" i="35"/>
  <c r="L38" i="7" s="1"/>
  <c r="D16" i="35"/>
  <c r="D21" i="35" s="1"/>
  <c r="G58" i="35" s="1"/>
  <c r="D7" i="35"/>
  <c r="L7" i="7" s="1"/>
  <c r="K39" i="7"/>
  <c r="K38" i="7"/>
  <c r="K7" i="7"/>
  <c r="K61" i="33"/>
  <c r="K62" i="33" s="1"/>
  <c r="D39" i="33"/>
  <c r="J39" i="7" s="1"/>
  <c r="D38" i="33"/>
  <c r="J38" i="7" s="1"/>
  <c r="D16" i="33"/>
  <c r="J17" i="7" s="1"/>
  <c r="D7" i="33"/>
  <c r="J7" i="7" s="1"/>
  <c r="K61" i="32"/>
  <c r="K62" i="32" s="1"/>
  <c r="K63" i="32" s="1"/>
  <c r="D39" i="32"/>
  <c r="I39" i="7" s="1"/>
  <c r="D38" i="32"/>
  <c r="I38" i="7" s="1"/>
  <c r="D16" i="32"/>
  <c r="I17" i="7" s="1"/>
  <c r="D7" i="32"/>
  <c r="I7" i="7" s="1"/>
  <c r="K61" i="31"/>
  <c r="K62" i="31" s="1"/>
  <c r="K63" i="31" s="1"/>
  <c r="D39" i="31"/>
  <c r="H39" i="7" s="1"/>
  <c r="D38" i="31"/>
  <c r="H38" i="7" s="1"/>
  <c r="D16" i="31"/>
  <c r="H17" i="7" s="1"/>
  <c r="D7" i="31"/>
  <c r="H7" i="7" s="1"/>
  <c r="K61" i="30"/>
  <c r="K62" i="30" s="1"/>
  <c r="D39" i="30"/>
  <c r="G39" i="7" s="1"/>
  <c r="D38" i="30"/>
  <c r="G38" i="7" s="1"/>
  <c r="D16" i="30"/>
  <c r="D21" i="30" s="1"/>
  <c r="G21" i="7" s="1"/>
  <c r="D7" i="30"/>
  <c r="G7" i="7" s="1"/>
  <c r="K61" i="29"/>
  <c r="K62" i="29" s="1"/>
  <c r="K63" i="29" s="1"/>
  <c r="K64" i="29" s="1"/>
  <c r="D39" i="29"/>
  <c r="F39" i="7" s="1"/>
  <c r="D38" i="29"/>
  <c r="F38" i="7" s="1"/>
  <c r="D16" i="29"/>
  <c r="F17" i="7" s="1"/>
  <c r="D7" i="29"/>
  <c r="F7" i="7" s="1"/>
  <c r="K61" i="28"/>
  <c r="K62" i="28" s="1"/>
  <c r="D39" i="28"/>
  <c r="E39" i="7" s="1"/>
  <c r="D38" i="28"/>
  <c r="E38" i="7" s="1"/>
  <c r="D16" i="28"/>
  <c r="D7" i="28"/>
  <c r="E7" i="7" s="1"/>
  <c r="B5" i="7"/>
  <c r="B6" i="7"/>
  <c r="B7" i="7"/>
  <c r="B8" i="7"/>
  <c r="D7" i="6"/>
  <c r="D7" i="7" s="1"/>
  <c r="C37" i="7"/>
  <c r="C38" i="7"/>
  <c r="C39" i="7"/>
  <c r="C40" i="7"/>
  <c r="C36" i="7"/>
  <c r="B40" i="7"/>
  <c r="B37" i="7"/>
  <c r="B38" i="7"/>
  <c r="B39" i="7"/>
  <c r="B36" i="7"/>
  <c r="B35" i="7"/>
  <c r="C34" i="7"/>
  <c r="B34" i="7"/>
  <c r="C33" i="7"/>
  <c r="B33" i="7"/>
  <c r="B32" i="7"/>
  <c r="C31" i="7"/>
  <c r="B31" i="7"/>
  <c r="B30" i="7"/>
  <c r="C29" i="7"/>
  <c r="C28" i="7"/>
  <c r="B29" i="7"/>
  <c r="B28" i="7"/>
  <c r="B27" i="7"/>
  <c r="C11" i="7"/>
  <c r="C12" i="7"/>
  <c r="C13" i="7"/>
  <c r="C14" i="7"/>
  <c r="C10" i="7"/>
  <c r="B11" i="7"/>
  <c r="B12" i="7"/>
  <c r="B13" i="7"/>
  <c r="B14" i="7"/>
  <c r="B10" i="7"/>
  <c r="B9" i="7"/>
  <c r="C17" i="7"/>
  <c r="C18" i="7"/>
  <c r="C19" i="7"/>
  <c r="C20" i="7"/>
  <c r="C21" i="7"/>
  <c r="C16" i="7"/>
  <c r="B17" i="7"/>
  <c r="B18" i="7"/>
  <c r="B19" i="7"/>
  <c r="B20" i="7"/>
  <c r="B21" i="7"/>
  <c r="B16" i="7"/>
  <c r="B15" i="7"/>
  <c r="C24" i="7"/>
  <c r="C25" i="7"/>
  <c r="C26" i="7"/>
  <c r="C23" i="7"/>
  <c r="B24" i="7"/>
  <c r="B25" i="7"/>
  <c r="B26" i="7"/>
  <c r="B23" i="7"/>
  <c r="B22" i="7"/>
  <c r="D39" i="6"/>
  <c r="D39" i="7" s="1"/>
  <c r="D38" i="6"/>
  <c r="D38" i="7" s="1"/>
  <c r="D12" i="37"/>
  <c r="M12" i="7" s="1"/>
  <c r="L65" i="34" l="1"/>
  <c r="M65" i="34" s="1"/>
  <c r="K66" i="34"/>
  <c r="D63" i="34"/>
  <c r="D78" i="34" s="1"/>
  <c r="E56" i="34" s="1"/>
  <c r="C78" i="34"/>
  <c r="K17" i="7"/>
  <c r="L17" i="7"/>
  <c r="M17" i="7"/>
  <c r="D6" i="9"/>
  <c r="D21" i="29"/>
  <c r="G58" i="29" s="1"/>
  <c r="D21" i="31"/>
  <c r="G58" i="31" s="1"/>
  <c r="D21" i="33"/>
  <c r="J21" i="7" s="1"/>
  <c r="G17" i="7"/>
  <c r="D18" i="28"/>
  <c r="E18" i="7" s="1"/>
  <c r="AB37" i="26"/>
  <c r="AB36" i="26"/>
  <c r="D21" i="32"/>
  <c r="G58" i="32" s="1"/>
  <c r="G58" i="30"/>
  <c r="D11" i="9"/>
  <c r="G16" i="7"/>
  <c r="D18" i="30"/>
  <c r="G18" i="7" s="1"/>
  <c r="J16" i="7"/>
  <c r="D18" i="33"/>
  <c r="J18" i="7" s="1"/>
  <c r="M16" i="7"/>
  <c r="D18" i="37"/>
  <c r="M18" i="7" s="1"/>
  <c r="K29" i="7"/>
  <c r="K18" i="7"/>
  <c r="F16" i="7"/>
  <c r="D18" i="29"/>
  <c r="F18" i="7" s="1"/>
  <c r="I16" i="7"/>
  <c r="D18" i="32"/>
  <c r="I18" i="7" s="1"/>
  <c r="D29" i="35"/>
  <c r="L29" i="7" s="1"/>
  <c r="D18" i="35"/>
  <c r="L18" i="7" s="1"/>
  <c r="E16" i="7"/>
  <c r="H16" i="7"/>
  <c r="D18" i="31"/>
  <c r="H18" i="7" s="1"/>
  <c r="K16" i="7"/>
  <c r="L16" i="7"/>
  <c r="M21" i="7"/>
  <c r="L21" i="7"/>
  <c r="K21" i="7"/>
  <c r="F21" i="7"/>
  <c r="D12" i="32"/>
  <c r="I12" i="7" s="1"/>
  <c r="K12" i="7"/>
  <c r="D12" i="35"/>
  <c r="D12" i="28"/>
  <c r="E12" i="7" s="1"/>
  <c r="D12" i="29"/>
  <c r="F12" i="7" s="1"/>
  <c r="D12" i="31"/>
  <c r="H12" i="7" s="1"/>
  <c r="D12" i="30"/>
  <c r="G12" i="7" s="1"/>
  <c r="D12" i="33"/>
  <c r="J12" i="7" s="1"/>
  <c r="K63" i="7"/>
  <c r="K63" i="26"/>
  <c r="K63" i="37"/>
  <c r="D29" i="37"/>
  <c r="K63" i="35"/>
  <c r="K63" i="33"/>
  <c r="D29" i="33"/>
  <c r="K64" i="32"/>
  <c r="D29" i="32"/>
  <c r="K64" i="31"/>
  <c r="D29" i="31"/>
  <c r="E58" i="30"/>
  <c r="K63" i="30"/>
  <c r="D29" i="30"/>
  <c r="K65" i="29"/>
  <c r="D29" i="29"/>
  <c r="F29" i="7" s="1"/>
  <c r="K63" i="28"/>
  <c r="D29" i="28"/>
  <c r="E29" i="7" s="1"/>
  <c r="D16" i="6"/>
  <c r="E40" i="5"/>
  <c r="E37" i="5"/>
  <c r="F37" i="5"/>
  <c r="G37" i="5"/>
  <c r="H37" i="5"/>
  <c r="I37" i="5"/>
  <c r="J37" i="5"/>
  <c r="K37" i="5"/>
  <c r="L37" i="5"/>
  <c r="M37" i="5"/>
  <c r="D37" i="5"/>
  <c r="E27" i="5"/>
  <c r="F27" i="5"/>
  <c r="G27" i="5"/>
  <c r="H27" i="5"/>
  <c r="I27" i="5"/>
  <c r="J27" i="5"/>
  <c r="K27" i="5"/>
  <c r="L27" i="5"/>
  <c r="M27" i="5"/>
  <c r="D27" i="5"/>
  <c r="E17" i="5"/>
  <c r="F17" i="5"/>
  <c r="G17" i="5"/>
  <c r="H17" i="5"/>
  <c r="I17" i="5"/>
  <c r="J17" i="5"/>
  <c r="K17" i="5"/>
  <c r="L17" i="5"/>
  <c r="M17" i="5"/>
  <c r="D17" i="5"/>
  <c r="E7" i="5"/>
  <c r="F7" i="5"/>
  <c r="G7" i="5"/>
  <c r="H7" i="5"/>
  <c r="I7" i="5"/>
  <c r="J7" i="5"/>
  <c r="K7" i="5"/>
  <c r="L7" i="5"/>
  <c r="M7" i="5"/>
  <c r="D7" i="5"/>
  <c r="F40" i="5"/>
  <c r="Z10" i="26" s="1"/>
  <c r="G40" i="5"/>
  <c r="AA10" i="26" s="1"/>
  <c r="H40" i="5"/>
  <c r="AB10" i="26" s="1"/>
  <c r="I40" i="5"/>
  <c r="AC10" i="26" s="1"/>
  <c r="J40" i="5"/>
  <c r="K40" i="5"/>
  <c r="L40" i="5"/>
  <c r="M40" i="5"/>
  <c r="D40" i="5"/>
  <c r="X10" i="26" s="1"/>
  <c r="E30" i="5"/>
  <c r="O10" i="26" s="1"/>
  <c r="F30" i="5"/>
  <c r="P10" i="26" s="1"/>
  <c r="G30" i="5"/>
  <c r="Q10" i="26" s="1"/>
  <c r="H30" i="5"/>
  <c r="R10" i="26" s="1"/>
  <c r="I30" i="5"/>
  <c r="S10" i="26" s="1"/>
  <c r="J30" i="5"/>
  <c r="K30" i="5"/>
  <c r="U10" i="26" s="1"/>
  <c r="L30" i="5"/>
  <c r="V10" i="26" s="1"/>
  <c r="M30" i="5"/>
  <c r="W10" i="26" s="1"/>
  <c r="D30" i="5"/>
  <c r="N10" i="26" s="1"/>
  <c r="E20" i="5"/>
  <c r="E10" i="26" s="1"/>
  <c r="E34" i="26" s="1"/>
  <c r="F20" i="5"/>
  <c r="F10" i="26" s="1"/>
  <c r="G20" i="5"/>
  <c r="G10" i="26" s="1"/>
  <c r="H20" i="5"/>
  <c r="I20" i="5"/>
  <c r="I10" i="26" s="1"/>
  <c r="J20" i="5"/>
  <c r="J10" i="26" s="1"/>
  <c r="K20" i="5"/>
  <c r="L20" i="5"/>
  <c r="L10" i="26" s="1"/>
  <c r="M20" i="5"/>
  <c r="M10" i="26" s="1"/>
  <c r="D20" i="5"/>
  <c r="D10" i="26" s="1"/>
  <c r="D34" i="26" s="1"/>
  <c r="E10" i="5"/>
  <c r="D10" i="28" s="1"/>
  <c r="F10" i="5"/>
  <c r="D10" i="29" s="1"/>
  <c r="G10" i="5"/>
  <c r="D10" i="30" s="1"/>
  <c r="H10" i="5"/>
  <c r="D10" i="31" s="1"/>
  <c r="I10" i="5"/>
  <c r="D10" i="32" s="1"/>
  <c r="J10" i="5"/>
  <c r="D10" i="33" s="1"/>
  <c r="K10" i="5"/>
  <c r="L10" i="5"/>
  <c r="D10" i="35" s="1"/>
  <c r="M10" i="5"/>
  <c r="D10" i="37" s="1"/>
  <c r="D10" i="5"/>
  <c r="D12" i="5" s="1"/>
  <c r="D12" i="6"/>
  <c r="D12" i="7" s="1"/>
  <c r="E6" i="5"/>
  <c r="D8" i="28" s="1"/>
  <c r="E8" i="7" s="1"/>
  <c r="F6" i="5"/>
  <c r="D8" i="29" s="1"/>
  <c r="F8" i="7" s="1"/>
  <c r="G6" i="5"/>
  <c r="D8" i="30" s="1"/>
  <c r="G8" i="7" s="1"/>
  <c r="H6" i="5"/>
  <c r="D8" i="31" s="1"/>
  <c r="H8" i="7" s="1"/>
  <c r="I6" i="5"/>
  <c r="D8" i="32" s="1"/>
  <c r="I8" i="7" s="1"/>
  <c r="J6" i="5"/>
  <c r="D8" i="33" s="1"/>
  <c r="J8" i="7" s="1"/>
  <c r="K6" i="5"/>
  <c r="K8" i="7" s="1"/>
  <c r="L6" i="5"/>
  <c r="D8" i="35" s="1"/>
  <c r="L8" i="7" s="1"/>
  <c r="M6" i="5"/>
  <c r="D8" i="37" s="1"/>
  <c r="M8" i="7" s="1"/>
  <c r="D6" i="5"/>
  <c r="D8" i="6" s="1"/>
  <c r="D8" i="7" s="1"/>
  <c r="D7" i="9" s="1"/>
  <c r="E16" i="5"/>
  <c r="E8" i="26" s="1"/>
  <c r="F16" i="5"/>
  <c r="F8" i="26" s="1"/>
  <c r="G16" i="5"/>
  <c r="G8" i="26" s="1"/>
  <c r="H16" i="5"/>
  <c r="H8" i="26" s="1"/>
  <c r="I16" i="5"/>
  <c r="I8" i="26" s="1"/>
  <c r="J16" i="5"/>
  <c r="J8" i="26" s="1"/>
  <c r="K16" i="5"/>
  <c r="K8" i="26" s="1"/>
  <c r="L16" i="5"/>
  <c r="L8" i="26" s="1"/>
  <c r="M16" i="5"/>
  <c r="M8" i="26" s="1"/>
  <c r="D16" i="5"/>
  <c r="D8" i="26" s="1"/>
  <c r="E26" i="5"/>
  <c r="O8" i="26" s="1"/>
  <c r="F26" i="5"/>
  <c r="P8" i="26" s="1"/>
  <c r="G26" i="5"/>
  <c r="Q8" i="26" s="1"/>
  <c r="H26" i="5"/>
  <c r="R8" i="26" s="1"/>
  <c r="I26" i="5"/>
  <c r="S8" i="26" s="1"/>
  <c r="J26" i="5"/>
  <c r="T8" i="26" s="1"/>
  <c r="K26" i="5"/>
  <c r="U8" i="26" s="1"/>
  <c r="L26" i="5"/>
  <c r="V8" i="26" s="1"/>
  <c r="M26" i="5"/>
  <c r="W8" i="26" s="1"/>
  <c r="D26" i="5"/>
  <c r="N8" i="26" s="1"/>
  <c r="D36" i="5"/>
  <c r="X8" i="26" s="1"/>
  <c r="E36" i="5"/>
  <c r="Y8" i="26" s="1"/>
  <c r="F36" i="5"/>
  <c r="Z8" i="26" s="1"/>
  <c r="G36" i="5"/>
  <c r="AA8" i="26" s="1"/>
  <c r="I36" i="5"/>
  <c r="J36" i="5"/>
  <c r="K36" i="5"/>
  <c r="L36" i="5"/>
  <c r="M36" i="5"/>
  <c r="H36" i="5"/>
  <c r="G56" i="34" l="1"/>
  <c r="L66" i="34"/>
  <c r="M66" i="34" s="1"/>
  <c r="K67" i="34"/>
  <c r="D20" i="35"/>
  <c r="L20" i="7" s="1"/>
  <c r="D20" i="30"/>
  <c r="G20" i="7" s="1"/>
  <c r="I21" i="7"/>
  <c r="G58" i="33"/>
  <c r="H21" i="7"/>
  <c r="D21" i="28"/>
  <c r="D20" i="28" s="1"/>
  <c r="E20" i="7" s="1"/>
  <c r="E17" i="7"/>
  <c r="D17" i="7"/>
  <c r="D21" i="6"/>
  <c r="E55" i="33"/>
  <c r="C69" i="33" s="1"/>
  <c r="D69" i="33" s="1"/>
  <c r="J23" i="7"/>
  <c r="D36" i="33"/>
  <c r="J36" i="7" s="1"/>
  <c r="E58" i="33"/>
  <c r="AC8" i="26"/>
  <c r="AB8" i="26"/>
  <c r="AB34" i="26"/>
  <c r="AB26" i="26"/>
  <c r="D20" i="33"/>
  <c r="J20" i="7" s="1"/>
  <c r="E58" i="35"/>
  <c r="D20" i="31"/>
  <c r="H20" i="7" s="1"/>
  <c r="E58" i="28"/>
  <c r="K20" i="7"/>
  <c r="E58" i="31"/>
  <c r="D20" i="37"/>
  <c r="M20" i="7" s="1"/>
  <c r="E58" i="37"/>
  <c r="E58" i="29"/>
  <c r="E58" i="32"/>
  <c r="D20" i="29"/>
  <c r="F20" i="7" s="1"/>
  <c r="D20" i="32"/>
  <c r="I20" i="7" s="1"/>
  <c r="D16" i="7"/>
  <c r="D18" i="6"/>
  <c r="D18" i="7" s="1"/>
  <c r="K10" i="26"/>
  <c r="K34" i="26" s="1"/>
  <c r="D34" i="37"/>
  <c r="H10" i="7"/>
  <c r="J10" i="7"/>
  <c r="H10" i="26"/>
  <c r="H34" i="26" s="1"/>
  <c r="M10" i="7"/>
  <c r="D34" i="31"/>
  <c r="H34" i="7" s="1"/>
  <c r="L10" i="7"/>
  <c r="Y10" i="26"/>
  <c r="Y34" i="26" s="1"/>
  <c r="D34" i="32"/>
  <c r="I34" i="7" s="1"/>
  <c r="D34" i="30"/>
  <c r="G34" i="7" s="1"/>
  <c r="K34" i="7"/>
  <c r="K10" i="7"/>
  <c r="D34" i="28"/>
  <c r="E34" i="7" s="1"/>
  <c r="I10" i="7"/>
  <c r="G10" i="7"/>
  <c r="D34" i="35"/>
  <c r="L34" i="7" s="1"/>
  <c r="F10" i="7"/>
  <c r="E10" i="7"/>
  <c r="T10" i="26"/>
  <c r="T34" i="26" s="1"/>
  <c r="D34" i="29"/>
  <c r="F34" i="7" s="1"/>
  <c r="D34" i="33"/>
  <c r="J34" i="7" s="1"/>
  <c r="M29" i="7"/>
  <c r="F58" i="35"/>
  <c r="D40" i="35"/>
  <c r="L40" i="7" s="1"/>
  <c r="J29" i="7"/>
  <c r="I29" i="7"/>
  <c r="H29" i="7"/>
  <c r="G29" i="7"/>
  <c r="N12" i="26"/>
  <c r="D12" i="26"/>
  <c r="L12" i="7"/>
  <c r="K64" i="7"/>
  <c r="K64" i="26"/>
  <c r="M36" i="26"/>
  <c r="M29" i="26"/>
  <c r="O29" i="26"/>
  <c r="X29" i="26"/>
  <c r="L29" i="26"/>
  <c r="AC29" i="26"/>
  <c r="N29" i="26"/>
  <c r="Y29" i="26"/>
  <c r="W36" i="26"/>
  <c r="W29" i="26"/>
  <c r="K29" i="26"/>
  <c r="J29" i="26"/>
  <c r="I29" i="26"/>
  <c r="V29" i="26"/>
  <c r="U29" i="26"/>
  <c r="T29" i="26"/>
  <c r="H29" i="26"/>
  <c r="G29" i="26"/>
  <c r="P29" i="26"/>
  <c r="AA29" i="26"/>
  <c r="Z29" i="26"/>
  <c r="S29" i="26"/>
  <c r="R37" i="26"/>
  <c r="R29" i="26"/>
  <c r="F29" i="26"/>
  <c r="D29" i="26"/>
  <c r="Q29" i="26"/>
  <c r="E29" i="26"/>
  <c r="O37" i="26"/>
  <c r="Z21" i="26"/>
  <c r="N21" i="26"/>
  <c r="Y21" i="26"/>
  <c r="M21" i="26"/>
  <c r="X21" i="26"/>
  <c r="L21" i="26"/>
  <c r="J21" i="26"/>
  <c r="W21" i="26"/>
  <c r="V21" i="26"/>
  <c r="U21" i="26"/>
  <c r="I21" i="26"/>
  <c r="T21" i="26"/>
  <c r="H21" i="26"/>
  <c r="S21" i="26"/>
  <c r="K21" i="26"/>
  <c r="R21" i="26"/>
  <c r="AD16" i="26"/>
  <c r="Q21" i="26"/>
  <c r="AC21" i="26"/>
  <c r="P21" i="26"/>
  <c r="AA21" i="26"/>
  <c r="O21" i="26"/>
  <c r="K64" i="37"/>
  <c r="K64" i="35"/>
  <c r="K64" i="33"/>
  <c r="K65" i="32"/>
  <c r="K65" i="31"/>
  <c r="K64" i="30"/>
  <c r="F58" i="30"/>
  <c r="D40" i="30"/>
  <c r="G40" i="7" s="1"/>
  <c r="K66" i="29"/>
  <c r="K64" i="28"/>
  <c r="D29" i="6"/>
  <c r="D29" i="7" s="1"/>
  <c r="D10" i="6"/>
  <c r="D22" i="5"/>
  <c r="D13" i="26" s="1"/>
  <c r="D33" i="26" s="1"/>
  <c r="D32" i="5"/>
  <c r="N13" i="26" s="1"/>
  <c r="I12" i="5"/>
  <c r="D13" i="32" s="1"/>
  <c r="G12" i="5"/>
  <c r="D13" i="30" s="1"/>
  <c r="F12" i="5"/>
  <c r="D13" i="29" s="1"/>
  <c r="E12" i="5"/>
  <c r="D13" i="28" s="1"/>
  <c r="P34" i="26"/>
  <c r="L34" i="26"/>
  <c r="J34" i="26"/>
  <c r="I34" i="26"/>
  <c r="G34" i="26"/>
  <c r="V34" i="26"/>
  <c r="U34" i="26"/>
  <c r="AC34" i="26"/>
  <c r="S34" i="26"/>
  <c r="AA34" i="26"/>
  <c r="N34" i="26"/>
  <c r="Q34" i="26"/>
  <c r="K68" i="34" l="1"/>
  <c r="L67" i="34"/>
  <c r="G58" i="6"/>
  <c r="D21" i="7"/>
  <c r="D26" i="33"/>
  <c r="J26" i="7" s="1"/>
  <c r="G58" i="28"/>
  <c r="E21" i="7"/>
  <c r="F58" i="31"/>
  <c r="D40" i="31"/>
  <c r="H40" i="7" s="1"/>
  <c r="D40" i="28"/>
  <c r="E40" i="7" s="1"/>
  <c r="F58" i="28"/>
  <c r="M34" i="7"/>
  <c r="E23" i="7"/>
  <c r="D36" i="28"/>
  <c r="E36" i="7" s="1"/>
  <c r="F23" i="7"/>
  <c r="D36" i="29"/>
  <c r="F36" i="7" s="1"/>
  <c r="D37" i="33"/>
  <c r="J37" i="7" s="1"/>
  <c r="J24" i="7"/>
  <c r="H23" i="7"/>
  <c r="D36" i="31"/>
  <c r="H36" i="7" s="1"/>
  <c r="K23" i="7"/>
  <c r="K36" i="7"/>
  <c r="D36" i="30"/>
  <c r="G36" i="7" s="1"/>
  <c r="G23" i="7"/>
  <c r="D36" i="35"/>
  <c r="L36" i="7" s="1"/>
  <c r="L23" i="7"/>
  <c r="D36" i="32"/>
  <c r="I36" i="7" s="1"/>
  <c r="I23" i="7"/>
  <c r="M23" i="7"/>
  <c r="D36" i="37"/>
  <c r="M36" i="7" s="1"/>
  <c r="K40" i="7"/>
  <c r="F58" i="33"/>
  <c r="D40" i="33"/>
  <c r="J40" i="7" s="1"/>
  <c r="D10" i="7"/>
  <c r="D10" i="9" s="1"/>
  <c r="D13" i="9" s="1"/>
  <c r="D15" i="9" s="1"/>
  <c r="F58" i="37"/>
  <c r="D40" i="37"/>
  <c r="M40" i="7" s="1"/>
  <c r="F58" i="29"/>
  <c r="D40" i="29"/>
  <c r="F40" i="7" s="1"/>
  <c r="D40" i="32"/>
  <c r="I40" i="7" s="1"/>
  <c r="F58" i="32"/>
  <c r="C72" i="33"/>
  <c r="D72" i="33" s="1"/>
  <c r="C77" i="33"/>
  <c r="D77" i="33" s="1"/>
  <c r="C66" i="33"/>
  <c r="D66" i="33" s="1"/>
  <c r="C74" i="33"/>
  <c r="D74" i="33" s="1"/>
  <c r="C75" i="33"/>
  <c r="D75" i="33" s="1"/>
  <c r="C70" i="33"/>
  <c r="D70" i="33" s="1"/>
  <c r="C73" i="33"/>
  <c r="D73" i="33" s="1"/>
  <c r="L61" i="33"/>
  <c r="M61" i="33" s="1"/>
  <c r="C67" i="33"/>
  <c r="D67" i="33" s="1"/>
  <c r="C65" i="33"/>
  <c r="D65" i="33" s="1"/>
  <c r="C63" i="33"/>
  <c r="D63" i="33" s="1"/>
  <c r="C71" i="33"/>
  <c r="D71" i="33" s="1"/>
  <c r="C68" i="33"/>
  <c r="D68" i="33" s="1"/>
  <c r="C64" i="33"/>
  <c r="D64" i="33" s="1"/>
  <c r="L63" i="33"/>
  <c r="M63" i="33" s="1"/>
  <c r="C76" i="33"/>
  <c r="D76" i="33" s="1"/>
  <c r="L62" i="33"/>
  <c r="M62" i="33" s="1"/>
  <c r="N16" i="7"/>
  <c r="O16" i="7" s="1"/>
  <c r="D33" i="29"/>
  <c r="F13" i="7"/>
  <c r="E22" i="5"/>
  <c r="E13" i="26" s="1"/>
  <c r="E33" i="26" s="1"/>
  <c r="E12" i="26"/>
  <c r="F32" i="5"/>
  <c r="P13" i="26" s="1"/>
  <c r="O12" i="26"/>
  <c r="D33" i="32"/>
  <c r="I13" i="7"/>
  <c r="D42" i="5"/>
  <c r="X13" i="26" s="1"/>
  <c r="X33" i="26" s="1"/>
  <c r="X12" i="26"/>
  <c r="D33" i="30"/>
  <c r="G13" i="7"/>
  <c r="D33" i="28"/>
  <c r="E13" i="7"/>
  <c r="K65" i="7"/>
  <c r="D37" i="26"/>
  <c r="K65" i="26"/>
  <c r="M37" i="26"/>
  <c r="T26" i="26"/>
  <c r="T37" i="26"/>
  <c r="Q36" i="26"/>
  <c r="AA37" i="26"/>
  <c r="AA36" i="26"/>
  <c r="V37" i="26"/>
  <c r="V36" i="26"/>
  <c r="N36" i="26"/>
  <c r="D36" i="26"/>
  <c r="P36" i="26"/>
  <c r="F36" i="26"/>
  <c r="G36" i="26"/>
  <c r="J36" i="26"/>
  <c r="L36" i="26"/>
  <c r="I37" i="26"/>
  <c r="I36" i="26"/>
  <c r="R36" i="26"/>
  <c r="H36" i="26"/>
  <c r="K36" i="26"/>
  <c r="X36" i="26"/>
  <c r="AC37" i="26"/>
  <c r="AC36" i="26"/>
  <c r="W37" i="26"/>
  <c r="S37" i="26"/>
  <c r="S36" i="26"/>
  <c r="T36" i="26"/>
  <c r="O36" i="26"/>
  <c r="E36" i="26"/>
  <c r="Z37" i="26"/>
  <c r="Z36" i="26"/>
  <c r="U36" i="26"/>
  <c r="Y36" i="26"/>
  <c r="L20" i="26"/>
  <c r="L40" i="26" s="1"/>
  <c r="U37" i="26"/>
  <c r="M26" i="26"/>
  <c r="M34" i="26"/>
  <c r="P37" i="26"/>
  <c r="W34" i="26"/>
  <c r="N33" i="26"/>
  <c r="Y20" i="26"/>
  <c r="Y40" i="26" s="1"/>
  <c r="F34" i="26"/>
  <c r="X34" i="26"/>
  <c r="Z34" i="26"/>
  <c r="R26" i="26"/>
  <c r="R34" i="26"/>
  <c r="H20" i="26"/>
  <c r="H40" i="26" s="1"/>
  <c r="O26" i="26"/>
  <c r="O34" i="26"/>
  <c r="O20" i="26"/>
  <c r="O40" i="26" s="1"/>
  <c r="AD29" i="26"/>
  <c r="U26" i="26"/>
  <c r="V26" i="26"/>
  <c r="AD23" i="26"/>
  <c r="W20" i="26"/>
  <c r="W40" i="26" s="1"/>
  <c r="N20" i="26"/>
  <c r="N40" i="26" s="1"/>
  <c r="Z20" i="26"/>
  <c r="Z40" i="26" s="1"/>
  <c r="R20" i="26"/>
  <c r="R40" i="26" s="1"/>
  <c r="X20" i="26"/>
  <c r="X40" i="26" s="1"/>
  <c r="U20" i="26"/>
  <c r="U40" i="26" s="1"/>
  <c r="AA20" i="26"/>
  <c r="AA40" i="26" s="1"/>
  <c r="T20" i="26"/>
  <c r="T40" i="26" s="1"/>
  <c r="F21" i="26"/>
  <c r="F20" i="26" s="1"/>
  <c r="F40" i="26" s="1"/>
  <c r="P20" i="26"/>
  <c r="P40" i="26" s="1"/>
  <c r="I20" i="26"/>
  <c r="I40" i="26" s="1"/>
  <c r="AC20" i="26"/>
  <c r="AC40" i="26" s="1"/>
  <c r="E21" i="26"/>
  <c r="E20" i="26" s="1"/>
  <c r="E40" i="26" s="1"/>
  <c r="K20" i="26"/>
  <c r="K40" i="26" s="1"/>
  <c r="M20" i="26"/>
  <c r="M40" i="26" s="1"/>
  <c r="G21" i="26"/>
  <c r="G20" i="26" s="1"/>
  <c r="G40" i="26" s="1"/>
  <c r="V20" i="26"/>
  <c r="V40" i="26" s="1"/>
  <c r="Q20" i="26"/>
  <c r="Q40" i="26" s="1"/>
  <c r="S20" i="26"/>
  <c r="S40" i="26" s="1"/>
  <c r="AD17" i="26"/>
  <c r="N17" i="7" s="1"/>
  <c r="D21" i="26"/>
  <c r="D20" i="26" s="1"/>
  <c r="D40" i="26" s="1"/>
  <c r="AD18" i="26"/>
  <c r="J20" i="26"/>
  <c r="J40" i="26" s="1"/>
  <c r="K65" i="37"/>
  <c r="K65" i="35"/>
  <c r="L64" i="33"/>
  <c r="K65" i="33"/>
  <c r="K66" i="32"/>
  <c r="K66" i="31"/>
  <c r="K65" i="30"/>
  <c r="K67" i="29"/>
  <c r="K65" i="28"/>
  <c r="D34" i="6"/>
  <c r="D34" i="7" s="1"/>
  <c r="D14" i="9" s="1"/>
  <c r="D20" i="6"/>
  <c r="D20" i="7" s="1"/>
  <c r="E58" i="6"/>
  <c r="H12" i="5"/>
  <c r="D13" i="31" s="1"/>
  <c r="E32" i="5"/>
  <c r="O13" i="26" s="1"/>
  <c r="F12" i="26"/>
  <c r="Y12" i="26"/>
  <c r="AD10" i="26"/>
  <c r="N10" i="7" s="1"/>
  <c r="G55" i="33" l="1"/>
  <c r="M67" i="34"/>
  <c r="L68" i="34"/>
  <c r="M68" i="34"/>
  <c r="K69" i="34"/>
  <c r="D37" i="37"/>
  <c r="M37" i="7" s="1"/>
  <c r="M24" i="7"/>
  <c r="E55" i="37"/>
  <c r="L65" i="37" s="1"/>
  <c r="D26" i="37"/>
  <c r="K37" i="7"/>
  <c r="K24" i="7"/>
  <c r="I24" i="7"/>
  <c r="D37" i="32"/>
  <c r="I37" i="7" s="1"/>
  <c r="E55" i="32"/>
  <c r="D26" i="32"/>
  <c r="H24" i="7"/>
  <c r="D37" i="31"/>
  <c r="H37" i="7" s="1"/>
  <c r="E55" i="31"/>
  <c r="L66" i="31" s="1"/>
  <c r="D26" i="31"/>
  <c r="D37" i="35"/>
  <c r="L37" i="7" s="1"/>
  <c r="L24" i="7"/>
  <c r="D26" i="35"/>
  <c r="E55" i="35"/>
  <c r="L65" i="35" s="1"/>
  <c r="M65" i="35" s="1"/>
  <c r="D37" i="29"/>
  <c r="F37" i="7" s="1"/>
  <c r="F24" i="7"/>
  <c r="D26" i="29"/>
  <c r="E55" i="29"/>
  <c r="G24" i="7"/>
  <c r="D37" i="30"/>
  <c r="G37" i="7" s="1"/>
  <c r="D26" i="30"/>
  <c r="E55" i="30"/>
  <c r="L65" i="30" s="1"/>
  <c r="M65" i="30" s="1"/>
  <c r="D37" i="28"/>
  <c r="E37" i="7" s="1"/>
  <c r="E24" i="7"/>
  <c r="E55" i="28"/>
  <c r="L65" i="28" s="1"/>
  <c r="D26" i="28"/>
  <c r="D16" i="9"/>
  <c r="D23" i="7"/>
  <c r="D36" i="6"/>
  <c r="D36" i="7" s="1"/>
  <c r="AD31" i="26"/>
  <c r="N31" i="7" s="1"/>
  <c r="C78" i="33"/>
  <c r="D78" i="33"/>
  <c r="E56" i="33" s="1"/>
  <c r="G56" i="33" s="1"/>
  <c r="N29" i="7"/>
  <c r="O29" i="7" s="1"/>
  <c r="O28" i="7" s="1"/>
  <c r="N23" i="7"/>
  <c r="N18" i="7"/>
  <c r="O18" i="7" s="1"/>
  <c r="I33" i="7"/>
  <c r="F55" i="32"/>
  <c r="D33" i="31"/>
  <c r="H13" i="7"/>
  <c r="E33" i="7"/>
  <c r="F55" i="28"/>
  <c r="P12" i="26"/>
  <c r="G33" i="7"/>
  <c r="F55" i="30"/>
  <c r="F33" i="7"/>
  <c r="F55" i="29"/>
  <c r="K66" i="7"/>
  <c r="O17" i="7"/>
  <c r="E58" i="26"/>
  <c r="AA26" i="26"/>
  <c r="O10" i="7"/>
  <c r="K66" i="26"/>
  <c r="AC26" i="26"/>
  <c r="AD28" i="26"/>
  <c r="N28" i="7" s="1"/>
  <c r="AD11" i="26"/>
  <c r="AD40" i="26"/>
  <c r="N40" i="7" s="1"/>
  <c r="AD36" i="26"/>
  <c r="Y26" i="26"/>
  <c r="Y37" i="26"/>
  <c r="H26" i="26"/>
  <c r="H37" i="26"/>
  <c r="AD25" i="26"/>
  <c r="AD14" i="26" s="1"/>
  <c r="E26" i="26"/>
  <c r="E37" i="26"/>
  <c r="J26" i="26"/>
  <c r="J37" i="26"/>
  <c r="L26" i="26"/>
  <c r="L37" i="26"/>
  <c r="F26" i="26"/>
  <c r="F37" i="26"/>
  <c r="S26" i="26"/>
  <c r="K26" i="26"/>
  <c r="K37" i="26"/>
  <c r="I26" i="26"/>
  <c r="X26" i="26"/>
  <c r="X37" i="26"/>
  <c r="G26" i="26"/>
  <c r="G37" i="26"/>
  <c r="Q26" i="26"/>
  <c r="Q37" i="26"/>
  <c r="D26" i="26"/>
  <c r="P26" i="26"/>
  <c r="N26" i="26"/>
  <c r="N37" i="26"/>
  <c r="W26" i="26"/>
  <c r="Z26" i="26"/>
  <c r="O33" i="26"/>
  <c r="P33" i="26"/>
  <c r="AD24" i="26"/>
  <c r="AD20" i="26"/>
  <c r="N20" i="7" s="1"/>
  <c r="AD21" i="26"/>
  <c r="K66" i="37"/>
  <c r="K66" i="35"/>
  <c r="K66" i="33"/>
  <c r="L65" i="33"/>
  <c r="M64" i="33"/>
  <c r="K67" i="32"/>
  <c r="K67" i="31"/>
  <c r="K66" i="30"/>
  <c r="K68" i="29"/>
  <c r="K66" i="28"/>
  <c r="F58" i="6"/>
  <c r="D40" i="6"/>
  <c r="D40" i="7" s="1"/>
  <c r="Z12" i="26"/>
  <c r="E42" i="5"/>
  <c r="Y13" i="26" s="1"/>
  <c r="F22" i="5"/>
  <c r="F13" i="26" s="1"/>
  <c r="G12" i="26"/>
  <c r="J12" i="5"/>
  <c r="D13" i="33" s="1"/>
  <c r="K70" i="34" l="1"/>
  <c r="L69" i="34"/>
  <c r="M69" i="34" s="1"/>
  <c r="N21" i="7"/>
  <c r="AD19" i="26"/>
  <c r="O40" i="7"/>
  <c r="C64" i="29"/>
  <c r="D64" i="29" s="1"/>
  <c r="C65" i="29"/>
  <c r="D65" i="29" s="1"/>
  <c r="C71" i="29"/>
  <c r="D71" i="29" s="1"/>
  <c r="C67" i="29"/>
  <c r="D67" i="29" s="1"/>
  <c r="C66" i="29"/>
  <c r="D66" i="29" s="1"/>
  <c r="L62" i="29"/>
  <c r="M62" i="29" s="1"/>
  <c r="C74" i="29"/>
  <c r="D74" i="29" s="1"/>
  <c r="L64" i="29"/>
  <c r="M64" i="29" s="1"/>
  <c r="C70" i="29"/>
  <c r="D70" i="29" s="1"/>
  <c r="C76" i="29"/>
  <c r="D76" i="29" s="1"/>
  <c r="C63" i="29"/>
  <c r="C72" i="29"/>
  <c r="D72" i="29" s="1"/>
  <c r="C77" i="29"/>
  <c r="D77" i="29" s="1"/>
  <c r="L66" i="29"/>
  <c r="M66" i="29" s="1"/>
  <c r="C68" i="29"/>
  <c r="D68" i="29" s="1"/>
  <c r="C75" i="29"/>
  <c r="D75" i="29" s="1"/>
  <c r="L61" i="29"/>
  <c r="M61" i="29" s="1"/>
  <c r="L63" i="29"/>
  <c r="M63" i="29" s="1"/>
  <c r="C69" i="29"/>
  <c r="D69" i="29" s="1"/>
  <c r="L65" i="29"/>
  <c r="M65" i="29" s="1"/>
  <c r="C73" i="29"/>
  <c r="D73" i="29" s="1"/>
  <c r="I26" i="7"/>
  <c r="G55" i="32"/>
  <c r="C71" i="32"/>
  <c r="D71" i="32" s="1"/>
  <c r="C76" i="32"/>
  <c r="D76" i="32" s="1"/>
  <c r="L65" i="32"/>
  <c r="M65" i="32" s="1"/>
  <c r="C70" i="32"/>
  <c r="D70" i="32" s="1"/>
  <c r="C75" i="32"/>
  <c r="D75" i="32" s="1"/>
  <c r="C63" i="32"/>
  <c r="C72" i="32"/>
  <c r="D72" i="32" s="1"/>
  <c r="C64" i="32"/>
  <c r="D64" i="32" s="1"/>
  <c r="L64" i="32"/>
  <c r="M64" i="32" s="1"/>
  <c r="C73" i="32"/>
  <c r="D73" i="32" s="1"/>
  <c r="C68" i="32"/>
  <c r="D68" i="32" s="1"/>
  <c r="C65" i="32"/>
  <c r="D65" i="32" s="1"/>
  <c r="C74" i="32"/>
  <c r="D74" i="32" s="1"/>
  <c r="L62" i="32"/>
  <c r="M62" i="32" s="1"/>
  <c r="L61" i="32"/>
  <c r="M61" i="32" s="1"/>
  <c r="C66" i="32"/>
  <c r="D66" i="32" s="1"/>
  <c r="C67" i="32"/>
  <c r="D67" i="32" s="1"/>
  <c r="C69" i="32"/>
  <c r="D69" i="32" s="1"/>
  <c r="L63" i="32"/>
  <c r="M63" i="32" s="1"/>
  <c r="C77" i="32"/>
  <c r="D77" i="32" s="1"/>
  <c r="E26" i="7"/>
  <c r="G55" i="28"/>
  <c r="C76" i="28"/>
  <c r="D76" i="28" s="1"/>
  <c r="C77" i="28"/>
  <c r="D77" i="28" s="1"/>
  <c r="L64" i="28"/>
  <c r="M64" i="28" s="1"/>
  <c r="C74" i="28"/>
  <c r="D74" i="28" s="1"/>
  <c r="L62" i="28"/>
  <c r="M62" i="28" s="1"/>
  <c r="C71" i="28"/>
  <c r="D71" i="28" s="1"/>
  <c r="C67" i="28"/>
  <c r="D67" i="28" s="1"/>
  <c r="C69" i="28"/>
  <c r="D69" i="28" s="1"/>
  <c r="L63" i="28"/>
  <c r="M63" i="28" s="1"/>
  <c r="C65" i="28"/>
  <c r="D65" i="28" s="1"/>
  <c r="C64" i="28"/>
  <c r="D64" i="28" s="1"/>
  <c r="L61" i="28"/>
  <c r="M61" i="28" s="1"/>
  <c r="C68" i="28"/>
  <c r="D68" i="28" s="1"/>
  <c r="C73" i="28"/>
  <c r="D73" i="28" s="1"/>
  <c r="C66" i="28"/>
  <c r="D66" i="28" s="1"/>
  <c r="C70" i="28"/>
  <c r="D70" i="28" s="1"/>
  <c r="C63" i="28"/>
  <c r="C75" i="28"/>
  <c r="D75" i="28" s="1"/>
  <c r="C72" i="28"/>
  <c r="D72" i="28" s="1"/>
  <c r="L26" i="7"/>
  <c r="G55" i="35"/>
  <c r="K26" i="7"/>
  <c r="L63" i="35"/>
  <c r="M63" i="35" s="1"/>
  <c r="C76" i="35"/>
  <c r="D76" i="35" s="1"/>
  <c r="C65" i="35"/>
  <c r="D65" i="35" s="1"/>
  <c r="C64" i="35"/>
  <c r="D64" i="35" s="1"/>
  <c r="C63" i="35"/>
  <c r="L62" i="35"/>
  <c r="M62" i="35" s="1"/>
  <c r="C73" i="35"/>
  <c r="D73" i="35" s="1"/>
  <c r="C71" i="35"/>
  <c r="D71" i="35" s="1"/>
  <c r="L61" i="35"/>
  <c r="M61" i="35" s="1"/>
  <c r="C66" i="35"/>
  <c r="D66" i="35" s="1"/>
  <c r="C75" i="35"/>
  <c r="D75" i="35" s="1"/>
  <c r="L64" i="35"/>
  <c r="M64" i="35" s="1"/>
  <c r="C68" i="35"/>
  <c r="D68" i="35" s="1"/>
  <c r="C67" i="35"/>
  <c r="D67" i="35" s="1"/>
  <c r="C72" i="35"/>
  <c r="D72" i="35" s="1"/>
  <c r="C70" i="35"/>
  <c r="D70" i="35" s="1"/>
  <c r="C69" i="35"/>
  <c r="D69" i="35" s="1"/>
  <c r="C74" i="35"/>
  <c r="D74" i="35" s="1"/>
  <c r="C77" i="35"/>
  <c r="D77" i="35" s="1"/>
  <c r="L66" i="32"/>
  <c r="M66" i="32" s="1"/>
  <c r="C68" i="30"/>
  <c r="D68" i="30" s="1"/>
  <c r="C63" i="30"/>
  <c r="L61" i="30"/>
  <c r="M61" i="30" s="1"/>
  <c r="C74" i="30"/>
  <c r="D74" i="30" s="1"/>
  <c r="C72" i="30"/>
  <c r="D72" i="30" s="1"/>
  <c r="C64" i="30"/>
  <c r="D64" i="30" s="1"/>
  <c r="C70" i="30"/>
  <c r="D70" i="30" s="1"/>
  <c r="C73" i="30"/>
  <c r="D73" i="30" s="1"/>
  <c r="C65" i="30"/>
  <c r="D65" i="30" s="1"/>
  <c r="L64" i="30"/>
  <c r="M64" i="30" s="1"/>
  <c r="C66" i="30"/>
  <c r="D66" i="30" s="1"/>
  <c r="L63" i="30"/>
  <c r="M63" i="30" s="1"/>
  <c r="C76" i="30"/>
  <c r="D76" i="30" s="1"/>
  <c r="C71" i="30"/>
  <c r="D71" i="30" s="1"/>
  <c r="C75" i="30"/>
  <c r="D75" i="30" s="1"/>
  <c r="C67" i="30"/>
  <c r="D67" i="30" s="1"/>
  <c r="C69" i="30"/>
  <c r="D69" i="30" s="1"/>
  <c r="L62" i="30"/>
  <c r="M62" i="30" s="1"/>
  <c r="C77" i="30"/>
  <c r="D77" i="30" s="1"/>
  <c r="H26" i="7"/>
  <c r="G55" i="31"/>
  <c r="M26" i="7"/>
  <c r="G55" i="37"/>
  <c r="G26" i="7"/>
  <c r="G55" i="30"/>
  <c r="C67" i="31"/>
  <c r="D67" i="31" s="1"/>
  <c r="C72" i="31"/>
  <c r="D72" i="31" s="1"/>
  <c r="C75" i="31"/>
  <c r="D75" i="31" s="1"/>
  <c r="L64" i="31"/>
  <c r="M64" i="31" s="1"/>
  <c r="L62" i="31"/>
  <c r="M62" i="31" s="1"/>
  <c r="L65" i="31"/>
  <c r="M65" i="31" s="1"/>
  <c r="L63" i="31"/>
  <c r="M63" i="31" s="1"/>
  <c r="C68" i="31"/>
  <c r="D68" i="31" s="1"/>
  <c r="C70" i="31"/>
  <c r="D70" i="31" s="1"/>
  <c r="C66" i="31"/>
  <c r="D66" i="31" s="1"/>
  <c r="C64" i="31"/>
  <c r="D64" i="31" s="1"/>
  <c r="C76" i="31"/>
  <c r="D76" i="31" s="1"/>
  <c r="C74" i="31"/>
  <c r="D74" i="31" s="1"/>
  <c r="C71" i="31"/>
  <c r="D71" i="31" s="1"/>
  <c r="L61" i="31"/>
  <c r="M61" i="31" s="1"/>
  <c r="C77" i="31"/>
  <c r="D77" i="31" s="1"/>
  <c r="C65" i="31"/>
  <c r="D65" i="31" s="1"/>
  <c r="C73" i="31"/>
  <c r="D73" i="31" s="1"/>
  <c r="C63" i="31"/>
  <c r="C69" i="31"/>
  <c r="D69" i="31" s="1"/>
  <c r="C71" i="37"/>
  <c r="D71" i="37" s="1"/>
  <c r="L62" i="37"/>
  <c r="M62" i="37" s="1"/>
  <c r="C70" i="37"/>
  <c r="D70" i="37" s="1"/>
  <c r="C69" i="37"/>
  <c r="D69" i="37" s="1"/>
  <c r="C66" i="37"/>
  <c r="D66" i="37" s="1"/>
  <c r="L61" i="37"/>
  <c r="M61" i="37" s="1"/>
  <c r="C65" i="37"/>
  <c r="D65" i="37" s="1"/>
  <c r="C77" i="37"/>
  <c r="D77" i="37" s="1"/>
  <c r="L64" i="37"/>
  <c r="M64" i="37" s="1"/>
  <c r="C74" i="37"/>
  <c r="D74" i="37" s="1"/>
  <c r="C73" i="37"/>
  <c r="D73" i="37" s="1"/>
  <c r="C67" i="37"/>
  <c r="D67" i="37" s="1"/>
  <c r="C63" i="37"/>
  <c r="C75" i="37"/>
  <c r="D75" i="37" s="1"/>
  <c r="C76" i="37"/>
  <c r="D76" i="37" s="1"/>
  <c r="L63" i="37"/>
  <c r="M63" i="37" s="1"/>
  <c r="C72" i="37"/>
  <c r="D72" i="37" s="1"/>
  <c r="C64" i="37"/>
  <c r="D64" i="37" s="1"/>
  <c r="C68" i="37"/>
  <c r="D68" i="37" s="1"/>
  <c r="F26" i="7"/>
  <c r="G55" i="29"/>
  <c r="L67" i="29"/>
  <c r="M67" i="29" s="1"/>
  <c r="O23" i="7"/>
  <c r="D24" i="7"/>
  <c r="D37" i="6"/>
  <c r="D37" i="7" s="1"/>
  <c r="D26" i="6"/>
  <c r="E55" i="6"/>
  <c r="AD38" i="26"/>
  <c r="N38" i="7" s="1"/>
  <c r="O31" i="7"/>
  <c r="O38" i="7" s="1"/>
  <c r="N25" i="7"/>
  <c r="O25" i="7" s="1"/>
  <c r="N24" i="7"/>
  <c r="E58" i="7"/>
  <c r="N36" i="7"/>
  <c r="O36" i="7" s="1"/>
  <c r="G32" i="5"/>
  <c r="Q13" i="26" s="1"/>
  <c r="Q33" i="26" s="1"/>
  <c r="Q12" i="26"/>
  <c r="D33" i="33"/>
  <c r="J13" i="7"/>
  <c r="N11" i="7"/>
  <c r="O11" i="7" s="1"/>
  <c r="H33" i="7"/>
  <c r="F55" i="31"/>
  <c r="K67" i="7"/>
  <c r="K67" i="26"/>
  <c r="N19" i="7"/>
  <c r="O21" i="7"/>
  <c r="O19" i="7" s="1"/>
  <c r="G58" i="26"/>
  <c r="O20" i="7"/>
  <c r="F58" i="7" s="1"/>
  <c r="F58" i="26"/>
  <c r="AD37" i="26"/>
  <c r="N37" i="7" s="1"/>
  <c r="AD26" i="26"/>
  <c r="F33" i="26"/>
  <c r="Y33" i="26"/>
  <c r="M65" i="37"/>
  <c r="L66" i="37"/>
  <c r="M66" i="37" s="1"/>
  <c r="K67" i="37"/>
  <c r="L66" i="35"/>
  <c r="M66" i="35" s="1"/>
  <c r="K67" i="35"/>
  <c r="L66" i="33"/>
  <c r="M66" i="33" s="1"/>
  <c r="K67" i="33"/>
  <c r="M65" i="33"/>
  <c r="K68" i="32"/>
  <c r="L67" i="32"/>
  <c r="M67" i="32" s="1"/>
  <c r="M66" i="31"/>
  <c r="L67" i="31"/>
  <c r="M67" i="31" s="1"/>
  <c r="K68" i="31"/>
  <c r="L66" i="30"/>
  <c r="M66" i="30" s="1"/>
  <c r="K67" i="30"/>
  <c r="L68" i="29"/>
  <c r="M68" i="29" s="1"/>
  <c r="K69" i="29"/>
  <c r="M65" i="28"/>
  <c r="L66" i="28"/>
  <c r="M66" i="28" s="1"/>
  <c r="K67" i="28"/>
  <c r="G22" i="5"/>
  <c r="G13" i="26" s="1"/>
  <c r="H12" i="26"/>
  <c r="F42" i="5"/>
  <c r="Z13" i="26" s="1"/>
  <c r="AA12" i="26"/>
  <c r="K12" i="5"/>
  <c r="D13" i="34" s="1"/>
  <c r="D33" i="34" s="1"/>
  <c r="F55" i="34" s="1"/>
  <c r="F56" i="34" s="1"/>
  <c r="K71" i="34" l="1"/>
  <c r="L70" i="34"/>
  <c r="M70" i="34" s="1"/>
  <c r="D63" i="35"/>
  <c r="D78" i="35" s="1"/>
  <c r="E56" i="35" s="1"/>
  <c r="G56" i="35" s="1"/>
  <c r="C78" i="35"/>
  <c r="D63" i="37"/>
  <c r="D78" i="37" s="1"/>
  <c r="E56" i="37" s="1"/>
  <c r="C78" i="37"/>
  <c r="D63" i="31"/>
  <c r="D78" i="31" s="1"/>
  <c r="E56" i="31" s="1"/>
  <c r="F56" i="31" s="1"/>
  <c r="C78" i="31"/>
  <c r="D63" i="32"/>
  <c r="D78" i="32" s="1"/>
  <c r="E56" i="32" s="1"/>
  <c r="F56" i="32" s="1"/>
  <c r="C78" i="32"/>
  <c r="D63" i="29"/>
  <c r="D78" i="29" s="1"/>
  <c r="E56" i="29" s="1"/>
  <c r="F56" i="29" s="1"/>
  <c r="C78" i="29"/>
  <c r="D63" i="28"/>
  <c r="D78" i="28" s="1"/>
  <c r="E56" i="28" s="1"/>
  <c r="F56" i="28" s="1"/>
  <c r="C78" i="28"/>
  <c r="D63" i="30"/>
  <c r="D78" i="30" s="1"/>
  <c r="E56" i="30" s="1"/>
  <c r="F56" i="30" s="1"/>
  <c r="C78" i="30"/>
  <c r="N14" i="7"/>
  <c r="O14" i="7" s="1"/>
  <c r="O24" i="7"/>
  <c r="O37" i="7" s="1"/>
  <c r="D26" i="7"/>
  <c r="G55" i="6"/>
  <c r="G58" i="7"/>
  <c r="F55" i="33"/>
  <c r="F56" i="33" s="1"/>
  <c r="J33" i="7"/>
  <c r="R12" i="26"/>
  <c r="H32" i="5"/>
  <c r="R13" i="26" s="1"/>
  <c r="R33" i="26" s="1"/>
  <c r="N26" i="7"/>
  <c r="K13" i="7"/>
  <c r="K68" i="7"/>
  <c r="K68" i="26"/>
  <c r="Z33" i="26"/>
  <c r="G33" i="26"/>
  <c r="K68" i="37"/>
  <c r="L67" i="37"/>
  <c r="M67" i="37" s="1"/>
  <c r="K68" i="35"/>
  <c r="L67" i="35"/>
  <c r="M67" i="35" s="1"/>
  <c r="K68" i="33"/>
  <c r="L67" i="33"/>
  <c r="M67" i="33" s="1"/>
  <c r="K69" i="32"/>
  <c r="L68" i="32"/>
  <c r="M68" i="32" s="1"/>
  <c r="K69" i="31"/>
  <c r="L68" i="31"/>
  <c r="M68" i="31" s="1"/>
  <c r="L67" i="30"/>
  <c r="M67" i="30" s="1"/>
  <c r="K68" i="30"/>
  <c r="K70" i="29"/>
  <c r="L69" i="29"/>
  <c r="L67" i="28"/>
  <c r="M67" i="28" s="1"/>
  <c r="K68" i="28"/>
  <c r="H22" i="5"/>
  <c r="H13" i="26" s="1"/>
  <c r="I12" i="26"/>
  <c r="AC12" i="26"/>
  <c r="G42" i="5"/>
  <c r="AA13" i="26" s="1"/>
  <c r="M12" i="5"/>
  <c r="D13" i="37" s="1"/>
  <c r="L12" i="5"/>
  <c r="D13" i="35" s="1"/>
  <c r="L71" i="34" l="1"/>
  <c r="K72" i="34"/>
  <c r="M71" i="34"/>
  <c r="G56" i="31"/>
  <c r="G56" i="28"/>
  <c r="G56" i="37"/>
  <c r="G56" i="32"/>
  <c r="G56" i="30"/>
  <c r="G56" i="29"/>
  <c r="O26" i="7"/>
  <c r="K33" i="7"/>
  <c r="S12" i="26"/>
  <c r="I32" i="5"/>
  <c r="S13" i="26" s="1"/>
  <c r="S33" i="26" s="1"/>
  <c r="D33" i="37"/>
  <c r="F55" i="37" s="1"/>
  <c r="F56" i="37" s="1"/>
  <c r="M13" i="7"/>
  <c r="D33" i="35"/>
  <c r="L13" i="7"/>
  <c r="K69" i="7"/>
  <c r="K69" i="26"/>
  <c r="AA33" i="26"/>
  <c r="H33" i="26"/>
  <c r="K69" i="37"/>
  <c r="L68" i="37"/>
  <c r="M68" i="37" s="1"/>
  <c r="K69" i="35"/>
  <c r="L68" i="35"/>
  <c r="M68" i="35" s="1"/>
  <c r="K69" i="33"/>
  <c r="L68" i="33"/>
  <c r="M68" i="33" s="1"/>
  <c r="L69" i="32"/>
  <c r="M69" i="32" s="1"/>
  <c r="K70" i="32"/>
  <c r="L69" i="31"/>
  <c r="M69" i="31" s="1"/>
  <c r="K70" i="31"/>
  <c r="K69" i="30"/>
  <c r="L68" i="30"/>
  <c r="M68" i="30" s="1"/>
  <c r="M69" i="29"/>
  <c r="K71" i="29"/>
  <c r="L70" i="29"/>
  <c r="M70" i="29" s="1"/>
  <c r="K69" i="28"/>
  <c r="L68" i="28"/>
  <c r="M68" i="28" s="1"/>
  <c r="H42" i="5"/>
  <c r="J12" i="26"/>
  <c r="I22" i="5"/>
  <c r="I13" i="26" s="1"/>
  <c r="M72" i="34" l="1"/>
  <c r="K73" i="34"/>
  <c r="L72" i="34"/>
  <c r="AB13" i="26"/>
  <c r="AB33" i="26" s="1"/>
  <c r="AC13" i="26"/>
  <c r="AC33" i="26" s="1"/>
  <c r="M33" i="7"/>
  <c r="T12" i="26"/>
  <c r="J32" i="5"/>
  <c r="T13" i="26" s="1"/>
  <c r="T33" i="26" s="1"/>
  <c r="L33" i="7"/>
  <c r="F55" i="35"/>
  <c r="F56" i="35" s="1"/>
  <c r="K70" i="7"/>
  <c r="K70" i="26"/>
  <c r="I33" i="26"/>
  <c r="L69" i="37"/>
  <c r="M69" i="37" s="1"/>
  <c r="K70" i="37"/>
  <c r="L69" i="35"/>
  <c r="M69" i="35" s="1"/>
  <c r="K70" i="35"/>
  <c r="L69" i="33"/>
  <c r="M69" i="33" s="1"/>
  <c r="K70" i="33"/>
  <c r="K71" i="32"/>
  <c r="L70" i="32"/>
  <c r="M70" i="32" s="1"/>
  <c r="K71" i="31"/>
  <c r="L70" i="31"/>
  <c r="M70" i="31" s="1"/>
  <c r="L69" i="30"/>
  <c r="M69" i="30" s="1"/>
  <c r="K70" i="30"/>
  <c r="L71" i="29"/>
  <c r="M71" i="29" s="1"/>
  <c r="K72" i="29"/>
  <c r="L69" i="28"/>
  <c r="M69" i="28" s="1"/>
  <c r="K70" i="28"/>
  <c r="J22" i="5"/>
  <c r="J13" i="26" s="1"/>
  <c r="K12" i="26"/>
  <c r="I42" i="5"/>
  <c r="L73" i="34" l="1"/>
  <c r="M73" i="34"/>
  <c r="K74" i="34"/>
  <c r="U12" i="26"/>
  <c r="K32" i="5"/>
  <c r="U13" i="26" s="1"/>
  <c r="U33" i="26" s="1"/>
  <c r="K71" i="7"/>
  <c r="K71" i="26"/>
  <c r="J33" i="26"/>
  <c r="K71" i="37"/>
  <c r="L70" i="37"/>
  <c r="M70" i="37" s="1"/>
  <c r="K71" i="35"/>
  <c r="L70" i="35"/>
  <c r="M70" i="35" s="1"/>
  <c r="K71" i="33"/>
  <c r="L70" i="33"/>
  <c r="M70" i="33" s="1"/>
  <c r="L71" i="32"/>
  <c r="M71" i="32" s="1"/>
  <c r="K72" i="32"/>
  <c r="L71" i="31"/>
  <c r="M71" i="31" s="1"/>
  <c r="K72" i="31"/>
  <c r="K71" i="30"/>
  <c r="L70" i="30"/>
  <c r="M70" i="30" s="1"/>
  <c r="K73" i="29"/>
  <c r="L72" i="29"/>
  <c r="M72" i="29" s="1"/>
  <c r="K71" i="28"/>
  <c r="L70" i="28"/>
  <c r="M70" i="28" s="1"/>
  <c r="J42" i="5"/>
  <c r="K22" i="5"/>
  <c r="K13" i="26" s="1"/>
  <c r="L12" i="26"/>
  <c r="K75" i="34" l="1"/>
  <c r="M74" i="34"/>
  <c r="L74" i="34"/>
  <c r="V12" i="26"/>
  <c r="L32" i="5"/>
  <c r="V13" i="26" s="1"/>
  <c r="V33" i="26" s="1"/>
  <c r="K72" i="7"/>
  <c r="K72" i="26"/>
  <c r="K33" i="26"/>
  <c r="L71" i="37"/>
  <c r="M71" i="37" s="1"/>
  <c r="K72" i="37"/>
  <c r="K72" i="35"/>
  <c r="L71" i="35"/>
  <c r="M71" i="35" s="1"/>
  <c r="L71" i="33"/>
  <c r="M71" i="33" s="1"/>
  <c r="K72" i="33"/>
  <c r="K73" i="32"/>
  <c r="L72" i="32"/>
  <c r="M72" i="32" s="1"/>
  <c r="K73" i="31"/>
  <c r="L72" i="31"/>
  <c r="M72" i="31" s="1"/>
  <c r="L71" i="30"/>
  <c r="M71" i="30" s="1"/>
  <c r="K72" i="30"/>
  <c r="K74" i="29"/>
  <c r="L73" i="29"/>
  <c r="M73" i="29" s="1"/>
  <c r="L71" i="28"/>
  <c r="M71" i="28" s="1"/>
  <c r="K72" i="28"/>
  <c r="M12" i="26"/>
  <c r="L22" i="5"/>
  <c r="L13" i="26" s="1"/>
  <c r="K42" i="5"/>
  <c r="M75" i="34" l="1"/>
  <c r="L75" i="34"/>
  <c r="K76" i="34"/>
  <c r="W12" i="26"/>
  <c r="M32" i="5"/>
  <c r="W13" i="26" s="1"/>
  <c r="W33" i="26" s="1"/>
  <c r="K73" i="7"/>
  <c r="K73" i="26"/>
  <c r="L33" i="26"/>
  <c r="K73" i="37"/>
  <c r="L72" i="37"/>
  <c r="M72" i="37" s="1"/>
  <c r="K73" i="35"/>
  <c r="L72" i="35"/>
  <c r="M72" i="35" s="1"/>
  <c r="K73" i="33"/>
  <c r="L72" i="33"/>
  <c r="M72" i="33" s="1"/>
  <c r="K74" i="32"/>
  <c r="L73" i="32"/>
  <c r="M73" i="32" s="1"/>
  <c r="K74" i="31"/>
  <c r="L73" i="31"/>
  <c r="M73" i="31" s="1"/>
  <c r="K73" i="30"/>
  <c r="L72" i="30"/>
  <c r="M72" i="30" s="1"/>
  <c r="K75" i="29"/>
  <c r="L74" i="29"/>
  <c r="M74" i="29" s="1"/>
  <c r="L72" i="28"/>
  <c r="M72" i="28" s="1"/>
  <c r="K73" i="28"/>
  <c r="L42" i="5"/>
  <c r="M42" i="5"/>
  <c r="M22" i="5"/>
  <c r="M13" i="26" s="1"/>
  <c r="M76" i="34" l="1"/>
  <c r="K77" i="34"/>
  <c r="L76" i="34"/>
  <c r="K74" i="7"/>
  <c r="K74" i="26"/>
  <c r="M33" i="26"/>
  <c r="AD13" i="26"/>
  <c r="N13" i="7" s="1"/>
  <c r="K74" i="37"/>
  <c r="L73" i="37"/>
  <c r="M73" i="37" s="1"/>
  <c r="K74" i="35"/>
  <c r="L73" i="35"/>
  <c r="M73" i="35" s="1"/>
  <c r="K74" i="33"/>
  <c r="L73" i="33"/>
  <c r="M73" i="33" s="1"/>
  <c r="K75" i="32"/>
  <c r="L74" i="32"/>
  <c r="M74" i="32" s="1"/>
  <c r="K75" i="31"/>
  <c r="L74" i="31"/>
  <c r="M74" i="31" s="1"/>
  <c r="K74" i="30"/>
  <c r="L73" i="30"/>
  <c r="M73" i="30" s="1"/>
  <c r="K76" i="29"/>
  <c r="L75" i="29"/>
  <c r="M75" i="29" s="1"/>
  <c r="K74" i="28"/>
  <c r="L73" i="28"/>
  <c r="M73" i="28" s="1"/>
  <c r="K78" i="34" l="1"/>
  <c r="L77" i="34"/>
  <c r="M77" i="34"/>
  <c r="K75" i="7"/>
  <c r="K75" i="26"/>
  <c r="AD12" i="26"/>
  <c r="K75" i="37"/>
  <c r="L74" i="37"/>
  <c r="M74" i="37" s="1"/>
  <c r="K75" i="35"/>
  <c r="L74" i="35"/>
  <c r="M74" i="35" s="1"/>
  <c r="K75" i="33"/>
  <c r="L74" i="33"/>
  <c r="M74" i="33" s="1"/>
  <c r="K76" i="32"/>
  <c r="L75" i="32"/>
  <c r="M75" i="32" s="1"/>
  <c r="K76" i="31"/>
  <c r="L75" i="31"/>
  <c r="M75" i="31" s="1"/>
  <c r="K75" i="30"/>
  <c r="L74" i="30"/>
  <c r="M74" i="30" s="1"/>
  <c r="M76" i="29"/>
  <c r="L76" i="29"/>
  <c r="K77" i="29"/>
  <c r="K75" i="28"/>
  <c r="L74" i="28"/>
  <c r="M74" i="28" s="1"/>
  <c r="L78" i="34" l="1"/>
  <c r="M78" i="34"/>
  <c r="K79" i="34"/>
  <c r="N12" i="7"/>
  <c r="E55" i="26"/>
  <c r="L75" i="26" s="1"/>
  <c r="M75" i="26" s="1"/>
  <c r="K76" i="7"/>
  <c r="K76" i="26"/>
  <c r="K76" i="37"/>
  <c r="L75" i="37"/>
  <c r="M75" i="37" s="1"/>
  <c r="K76" i="35"/>
  <c r="L75" i="35"/>
  <c r="M75" i="35" s="1"/>
  <c r="K76" i="33"/>
  <c r="L75" i="33"/>
  <c r="M75" i="33" s="1"/>
  <c r="M76" i="32"/>
  <c r="L76" i="32"/>
  <c r="K77" i="32"/>
  <c r="M76" i="31"/>
  <c r="L76" i="31"/>
  <c r="K77" i="31"/>
  <c r="K76" i="30"/>
  <c r="L75" i="30"/>
  <c r="M75" i="30" s="1"/>
  <c r="M77" i="29"/>
  <c r="K78" i="29"/>
  <c r="L77" i="29"/>
  <c r="K76" i="28"/>
  <c r="L75" i="28"/>
  <c r="M75" i="28" s="1"/>
  <c r="AD33" i="26"/>
  <c r="K80" i="34" l="1"/>
  <c r="L79" i="34"/>
  <c r="M79" i="34"/>
  <c r="L71" i="26"/>
  <c r="M71" i="26" s="1"/>
  <c r="L72" i="26"/>
  <c r="M72" i="26" s="1"/>
  <c r="L73" i="26"/>
  <c r="M73" i="26" s="1"/>
  <c r="L74" i="26"/>
  <c r="M74" i="26" s="1"/>
  <c r="N33" i="7"/>
  <c r="L76" i="7"/>
  <c r="M76" i="7" s="1"/>
  <c r="K77" i="7"/>
  <c r="K77" i="26"/>
  <c r="M76" i="26"/>
  <c r="L76" i="26"/>
  <c r="G55" i="26"/>
  <c r="M76" i="37"/>
  <c r="L76" i="37"/>
  <c r="K77" i="37"/>
  <c r="M76" i="35"/>
  <c r="L76" i="35"/>
  <c r="K77" i="35"/>
  <c r="M76" i="33"/>
  <c r="L76" i="33"/>
  <c r="K77" i="33"/>
  <c r="K78" i="32"/>
  <c r="L77" i="32"/>
  <c r="M77" i="32"/>
  <c r="K78" i="31"/>
  <c r="L77" i="31"/>
  <c r="M77" i="31"/>
  <c r="M76" i="30"/>
  <c r="L76" i="30"/>
  <c r="K77" i="30"/>
  <c r="M78" i="29"/>
  <c r="L78" i="29"/>
  <c r="K79" i="29"/>
  <c r="M76" i="28"/>
  <c r="L76" i="28"/>
  <c r="K77" i="28"/>
  <c r="AD34" i="26"/>
  <c r="N34" i="7" s="1"/>
  <c r="M80" i="34" l="1"/>
  <c r="M91" i="34" s="1"/>
  <c r="E57" i="34" s="1"/>
  <c r="K81" i="34"/>
  <c r="L80" i="34"/>
  <c r="K78" i="7"/>
  <c r="L77" i="7"/>
  <c r="M77" i="7" s="1"/>
  <c r="C76" i="26"/>
  <c r="D76" i="26" s="1"/>
  <c r="C64" i="26"/>
  <c r="D64" i="26" s="1"/>
  <c r="C71" i="26"/>
  <c r="D71" i="26" s="1"/>
  <c r="C66" i="26"/>
  <c r="D66" i="26" s="1"/>
  <c r="C73" i="26"/>
  <c r="D73" i="26" s="1"/>
  <c r="C68" i="26"/>
  <c r="D68" i="26" s="1"/>
  <c r="C75" i="26"/>
  <c r="D75" i="26" s="1"/>
  <c r="C63" i="26"/>
  <c r="D63" i="26" s="1"/>
  <c r="C70" i="26"/>
  <c r="D70" i="26" s="1"/>
  <c r="C77" i="26"/>
  <c r="D77" i="26" s="1"/>
  <c r="C65" i="26"/>
  <c r="D65" i="26" s="1"/>
  <c r="C72" i="26"/>
  <c r="D72" i="26" s="1"/>
  <c r="C67" i="26"/>
  <c r="D67" i="26" s="1"/>
  <c r="C74" i="26"/>
  <c r="D74" i="26" s="1"/>
  <c r="C69" i="26"/>
  <c r="D69" i="26" s="1"/>
  <c r="L62" i="26"/>
  <c r="M62" i="26" s="1"/>
  <c r="L61" i="26"/>
  <c r="M61" i="26" s="1"/>
  <c r="L63" i="26"/>
  <c r="M63" i="26" s="1"/>
  <c r="L64" i="26"/>
  <c r="M64" i="26" s="1"/>
  <c r="L65" i="26"/>
  <c r="M65" i="26" s="1"/>
  <c r="L66" i="26"/>
  <c r="M66" i="26" s="1"/>
  <c r="L67" i="26"/>
  <c r="M67" i="26" s="1"/>
  <c r="L68" i="26"/>
  <c r="M68" i="26" s="1"/>
  <c r="L69" i="26"/>
  <c r="M69" i="26" s="1"/>
  <c r="L70" i="26"/>
  <c r="M70" i="26" s="1"/>
  <c r="F55" i="26"/>
  <c r="O34" i="7"/>
  <c r="K78" i="26"/>
  <c r="M77" i="26"/>
  <c r="L77" i="26"/>
  <c r="K78" i="37"/>
  <c r="M77" i="37"/>
  <c r="L77" i="37"/>
  <c r="K78" i="35"/>
  <c r="L77" i="35"/>
  <c r="M77" i="35"/>
  <c r="M77" i="33"/>
  <c r="K78" i="33"/>
  <c r="L77" i="33"/>
  <c r="K79" i="32"/>
  <c r="M78" i="32"/>
  <c r="L78" i="32"/>
  <c r="K79" i="31"/>
  <c r="M78" i="31"/>
  <c r="L78" i="31"/>
  <c r="M77" i="30"/>
  <c r="L77" i="30"/>
  <c r="K78" i="30"/>
  <c r="L79" i="29"/>
  <c r="K80" i="29"/>
  <c r="M79" i="29"/>
  <c r="K78" i="28"/>
  <c r="M77" i="28"/>
  <c r="L77" i="28"/>
  <c r="M81" i="34" l="1"/>
  <c r="K82" i="34"/>
  <c r="L81" i="34"/>
  <c r="G57" i="34"/>
  <c r="F57" i="34"/>
  <c r="K79" i="7"/>
  <c r="L78" i="7"/>
  <c r="M78" i="7" s="1"/>
  <c r="M78" i="26"/>
  <c r="L78" i="26"/>
  <c r="K79" i="26"/>
  <c r="K79" i="37"/>
  <c r="M78" i="37"/>
  <c r="L78" i="37"/>
  <c r="K79" i="35"/>
  <c r="M78" i="35"/>
  <c r="L78" i="35"/>
  <c r="K79" i="33"/>
  <c r="M78" i="33"/>
  <c r="L78" i="33"/>
  <c r="L79" i="32"/>
  <c r="K80" i="32"/>
  <c r="M79" i="32"/>
  <c r="L79" i="31"/>
  <c r="K80" i="31"/>
  <c r="M79" i="31"/>
  <c r="K79" i="30"/>
  <c r="M78" i="30"/>
  <c r="L78" i="30"/>
  <c r="K81" i="29"/>
  <c r="M80" i="29"/>
  <c r="M91" i="29" s="1"/>
  <c r="E57" i="29" s="1"/>
  <c r="L80" i="29"/>
  <c r="K79" i="28"/>
  <c r="M78" i="28"/>
  <c r="L78" i="28"/>
  <c r="C78" i="26"/>
  <c r="D78" i="26"/>
  <c r="E56" i="26" s="1"/>
  <c r="G56" i="26" s="1"/>
  <c r="L82" i="34" l="1"/>
  <c r="M82" i="34"/>
  <c r="K83" i="34"/>
  <c r="F56" i="26"/>
  <c r="G57" i="29"/>
  <c r="F57" i="29"/>
  <c r="L79" i="7"/>
  <c r="M79" i="7" s="1"/>
  <c r="K80" i="7"/>
  <c r="K80" i="26"/>
  <c r="M79" i="26"/>
  <c r="L79" i="26"/>
  <c r="L79" i="37"/>
  <c r="K80" i="37"/>
  <c r="M79" i="37"/>
  <c r="L79" i="35"/>
  <c r="M79" i="35"/>
  <c r="K80" i="35"/>
  <c r="L79" i="33"/>
  <c r="K80" i="33"/>
  <c r="M79" i="33"/>
  <c r="M80" i="32"/>
  <c r="M91" i="32" s="1"/>
  <c r="E57" i="32" s="1"/>
  <c r="K81" i="32"/>
  <c r="L80" i="32"/>
  <c r="L80" i="31"/>
  <c r="K81" i="31"/>
  <c r="M80" i="31"/>
  <c r="M91" i="31" s="1"/>
  <c r="E57" i="31" s="1"/>
  <c r="L79" i="30"/>
  <c r="K80" i="30"/>
  <c r="M79" i="30"/>
  <c r="K82" i="29"/>
  <c r="M81" i="29"/>
  <c r="L81" i="29"/>
  <c r="L79" i="28"/>
  <c r="M79" i="28"/>
  <c r="K80" i="28"/>
  <c r="L83" i="34" l="1"/>
  <c r="K84" i="34"/>
  <c r="M83" i="34"/>
  <c r="F57" i="32"/>
  <c r="G57" i="32"/>
  <c r="F57" i="31"/>
  <c r="G57" i="31"/>
  <c r="K81" i="7"/>
  <c r="L80" i="7"/>
  <c r="M80" i="7" s="1"/>
  <c r="K81" i="26"/>
  <c r="M80" i="26"/>
  <c r="M91" i="26" s="1"/>
  <c r="E57" i="26" s="1"/>
  <c r="L80" i="26"/>
  <c r="K81" i="37"/>
  <c r="M80" i="37"/>
  <c r="M91" i="37" s="1"/>
  <c r="E57" i="37" s="1"/>
  <c r="L80" i="37"/>
  <c r="M80" i="35"/>
  <c r="M91" i="35" s="1"/>
  <c r="E57" i="35" s="1"/>
  <c r="K81" i="35"/>
  <c r="L80" i="35"/>
  <c r="M80" i="33"/>
  <c r="M91" i="33" s="1"/>
  <c r="E57" i="33" s="1"/>
  <c r="L80" i="33"/>
  <c r="K81" i="33"/>
  <c r="K82" i="32"/>
  <c r="M81" i="32"/>
  <c r="L81" i="32"/>
  <c r="M81" i="31"/>
  <c r="K82" i="31"/>
  <c r="L81" i="31"/>
  <c r="K81" i="30"/>
  <c r="M80" i="30"/>
  <c r="M91" i="30" s="1"/>
  <c r="E57" i="30" s="1"/>
  <c r="L80" i="30"/>
  <c r="K83" i="29"/>
  <c r="M82" i="29"/>
  <c r="L82" i="29"/>
  <c r="L80" i="28"/>
  <c r="K81" i="28"/>
  <c r="M80" i="28"/>
  <c r="M91" i="28" s="1"/>
  <c r="E57" i="28" s="1"/>
  <c r="K85" i="34" l="1"/>
  <c r="L84" i="34"/>
  <c r="M84" i="34"/>
  <c r="G57" i="26"/>
  <c r="F57" i="26"/>
  <c r="G57" i="37"/>
  <c r="F57" i="37"/>
  <c r="F57" i="35"/>
  <c r="G57" i="35"/>
  <c r="G57" i="33"/>
  <c r="F57" i="33"/>
  <c r="G57" i="30"/>
  <c r="F57" i="30"/>
  <c r="F57" i="28"/>
  <c r="G57" i="28"/>
  <c r="K82" i="7"/>
  <c r="L81" i="7"/>
  <c r="M81" i="7" s="1"/>
  <c r="K82" i="26"/>
  <c r="M81" i="26"/>
  <c r="L81" i="26"/>
  <c r="K82" i="37"/>
  <c r="M81" i="37"/>
  <c r="L81" i="37"/>
  <c r="K82" i="35"/>
  <c r="M81" i="35"/>
  <c r="L81" i="35"/>
  <c r="K82" i="33"/>
  <c r="M81" i="33"/>
  <c r="L81" i="33"/>
  <c r="K83" i="32"/>
  <c r="M82" i="32"/>
  <c r="L82" i="32"/>
  <c r="K83" i="31"/>
  <c r="M82" i="31"/>
  <c r="L82" i="31"/>
  <c r="K82" i="30"/>
  <c r="M81" i="30"/>
  <c r="L81" i="30"/>
  <c r="L83" i="29"/>
  <c r="K84" i="29"/>
  <c r="M83" i="29"/>
  <c r="L81" i="28"/>
  <c r="K82" i="28"/>
  <c r="M81" i="28"/>
  <c r="M85" i="34" l="1"/>
  <c r="L85" i="34"/>
  <c r="K86" i="34"/>
  <c r="K83" i="7"/>
  <c r="L82" i="7"/>
  <c r="M82" i="7" s="1"/>
  <c r="M82" i="26"/>
  <c r="L82" i="26"/>
  <c r="K83" i="26"/>
  <c r="K83" i="37"/>
  <c r="M82" i="37"/>
  <c r="L82" i="37"/>
  <c r="K83" i="35"/>
  <c r="M82" i="35"/>
  <c r="L82" i="35"/>
  <c r="K83" i="33"/>
  <c r="M82" i="33"/>
  <c r="L82" i="33"/>
  <c r="L83" i="32"/>
  <c r="K84" i="32"/>
  <c r="M83" i="32"/>
  <c r="L83" i="31"/>
  <c r="K84" i="31"/>
  <c r="M83" i="31"/>
  <c r="K83" i="30"/>
  <c r="M82" i="30"/>
  <c r="L82" i="30"/>
  <c r="K85" i="29"/>
  <c r="M84" i="29"/>
  <c r="L84" i="29"/>
  <c r="K83" i="28"/>
  <c r="M82" i="28"/>
  <c r="L82" i="28"/>
  <c r="L86" i="34" l="1"/>
  <c r="M86" i="34"/>
  <c r="K87" i="34"/>
  <c r="L83" i="7"/>
  <c r="M83" i="7" s="1"/>
  <c r="K84" i="7"/>
  <c r="K84" i="26"/>
  <c r="M83" i="26"/>
  <c r="L83" i="26"/>
  <c r="L83" i="37"/>
  <c r="K84" i="37"/>
  <c r="M83" i="37"/>
  <c r="L83" i="35"/>
  <c r="K84" i="35"/>
  <c r="M83" i="35"/>
  <c r="L83" i="33"/>
  <c r="K84" i="33"/>
  <c r="M83" i="33"/>
  <c r="M84" i="32"/>
  <c r="K85" i="32"/>
  <c r="L84" i="32"/>
  <c r="L84" i="31"/>
  <c r="K85" i="31"/>
  <c r="M84" i="31"/>
  <c r="L83" i="30"/>
  <c r="K84" i="30"/>
  <c r="M83" i="30"/>
  <c r="K86" i="29"/>
  <c r="M85" i="29"/>
  <c r="L85" i="29"/>
  <c r="L83" i="28"/>
  <c r="K84" i="28"/>
  <c r="M83" i="28"/>
  <c r="K88" i="34" l="1"/>
  <c r="L87" i="34"/>
  <c r="M87" i="34"/>
  <c r="K85" i="7"/>
  <c r="L84" i="7"/>
  <c r="M84" i="7" s="1"/>
  <c r="K85" i="26"/>
  <c r="M84" i="26"/>
  <c r="L84" i="26"/>
  <c r="K85" i="37"/>
  <c r="M84" i="37"/>
  <c r="L84" i="37"/>
  <c r="M84" i="35"/>
  <c r="K85" i="35"/>
  <c r="L84" i="35"/>
  <c r="K85" i="33"/>
  <c r="M84" i="33"/>
  <c r="L84" i="33"/>
  <c r="K86" i="32"/>
  <c r="M85" i="32"/>
  <c r="L85" i="32"/>
  <c r="M85" i="31"/>
  <c r="K86" i="31"/>
  <c r="L85" i="31"/>
  <c r="K85" i="30"/>
  <c r="M84" i="30"/>
  <c r="L84" i="30"/>
  <c r="K87" i="29"/>
  <c r="M86" i="29"/>
  <c r="L86" i="29"/>
  <c r="L84" i="28"/>
  <c r="K85" i="28"/>
  <c r="M84" i="28"/>
  <c r="M88" i="34" l="1"/>
  <c r="L88" i="34"/>
  <c r="K89" i="34"/>
  <c r="K86" i="7"/>
  <c r="L85" i="7"/>
  <c r="M85" i="7" s="1"/>
  <c r="K86" i="26"/>
  <c r="M85" i="26"/>
  <c r="L85" i="26"/>
  <c r="K86" i="37"/>
  <c r="M85" i="37"/>
  <c r="L85" i="37"/>
  <c r="K86" i="35"/>
  <c r="M85" i="35"/>
  <c r="L85" i="35"/>
  <c r="K86" i="33"/>
  <c r="M85" i="33"/>
  <c r="L85" i="33"/>
  <c r="K87" i="32"/>
  <c r="M86" i="32"/>
  <c r="L86" i="32"/>
  <c r="K87" i="31"/>
  <c r="M86" i="31"/>
  <c r="L86" i="31"/>
  <c r="K86" i="30"/>
  <c r="M85" i="30"/>
  <c r="L85" i="30"/>
  <c r="L87" i="29"/>
  <c r="K88" i="29"/>
  <c r="M87" i="29"/>
  <c r="L85" i="28"/>
  <c r="K86" i="28"/>
  <c r="M85" i="28"/>
  <c r="M89" i="34" l="1"/>
  <c r="K90" i="34"/>
  <c r="L89" i="34"/>
  <c r="K87" i="7"/>
  <c r="L86" i="7"/>
  <c r="M86" i="7" s="1"/>
  <c r="M86" i="26"/>
  <c r="L86" i="26"/>
  <c r="K87" i="26"/>
  <c r="K87" i="37"/>
  <c r="M86" i="37"/>
  <c r="L86" i="37"/>
  <c r="K87" i="35"/>
  <c r="M86" i="35"/>
  <c r="L86" i="35"/>
  <c r="K87" i="33"/>
  <c r="M86" i="33"/>
  <c r="L86" i="33"/>
  <c r="L87" i="32"/>
  <c r="K88" i="32"/>
  <c r="M87" i="32"/>
  <c r="L87" i="31"/>
  <c r="K88" i="31"/>
  <c r="M87" i="31"/>
  <c r="K87" i="30"/>
  <c r="M86" i="30"/>
  <c r="L86" i="30"/>
  <c r="K89" i="29"/>
  <c r="M88" i="29"/>
  <c r="L88" i="29"/>
  <c r="K87" i="28"/>
  <c r="M86" i="28"/>
  <c r="L86" i="28"/>
  <c r="L90" i="34" l="1"/>
  <c r="L91" i="34" s="1"/>
  <c r="M90" i="34"/>
  <c r="L87" i="7"/>
  <c r="M87" i="7" s="1"/>
  <c r="K88" i="7"/>
  <c r="K88" i="26"/>
  <c r="M87" i="26"/>
  <c r="L87" i="26"/>
  <c r="L87" i="37"/>
  <c r="K88" i="37"/>
  <c r="M87" i="37"/>
  <c r="L87" i="35"/>
  <c r="K88" i="35"/>
  <c r="M87" i="35"/>
  <c r="L87" i="33"/>
  <c r="K88" i="33"/>
  <c r="M87" i="33"/>
  <c r="M88" i="32"/>
  <c r="K89" i="32"/>
  <c r="L88" i="32"/>
  <c r="L88" i="31"/>
  <c r="K89" i="31"/>
  <c r="M88" i="31"/>
  <c r="L87" i="30"/>
  <c r="K88" i="30"/>
  <c r="M87" i="30"/>
  <c r="K90" i="29"/>
  <c r="M89" i="29"/>
  <c r="L89" i="29"/>
  <c r="L87" i="28"/>
  <c r="K88" i="28"/>
  <c r="M87" i="28"/>
  <c r="K89" i="7" l="1"/>
  <c r="L88" i="7"/>
  <c r="M88" i="7" s="1"/>
  <c r="K89" i="26"/>
  <c r="M88" i="26"/>
  <c r="L88" i="26"/>
  <c r="K89" i="37"/>
  <c r="M88" i="37"/>
  <c r="L88" i="37"/>
  <c r="K89" i="35"/>
  <c r="M88" i="35"/>
  <c r="L88" i="35"/>
  <c r="M88" i="33"/>
  <c r="L88" i="33"/>
  <c r="K89" i="33"/>
  <c r="K90" i="32"/>
  <c r="M89" i="32"/>
  <c r="L89" i="32"/>
  <c r="M89" i="31"/>
  <c r="K90" i="31"/>
  <c r="L89" i="31"/>
  <c r="K89" i="30"/>
  <c r="M88" i="30"/>
  <c r="L88" i="30"/>
  <c r="M90" i="29"/>
  <c r="L90" i="29"/>
  <c r="L91" i="29" s="1"/>
  <c r="K89" i="28"/>
  <c r="M88" i="28"/>
  <c r="L88" i="28"/>
  <c r="K90" i="7" l="1"/>
  <c r="L89" i="7"/>
  <c r="M89" i="7" s="1"/>
  <c r="K90" i="26"/>
  <c r="M89" i="26"/>
  <c r="L89" i="26"/>
  <c r="K90" i="37"/>
  <c r="M89" i="37"/>
  <c r="L89" i="37"/>
  <c r="K90" i="35"/>
  <c r="M89" i="35"/>
  <c r="L89" i="35"/>
  <c r="K90" i="33"/>
  <c r="M89" i="33"/>
  <c r="L89" i="33"/>
  <c r="M90" i="32"/>
  <c r="L90" i="32"/>
  <c r="L91" i="32" s="1"/>
  <c r="M90" i="31"/>
  <c r="L90" i="31"/>
  <c r="L91" i="31" s="1"/>
  <c r="K90" i="30"/>
  <c r="M89" i="30"/>
  <c r="L89" i="30"/>
  <c r="L89" i="28"/>
  <c r="K90" i="28"/>
  <c r="M89" i="28"/>
  <c r="L90" i="7" l="1"/>
  <c r="M90" i="26"/>
  <c r="L90" i="26"/>
  <c r="L91" i="26" s="1"/>
  <c r="M90" i="37"/>
  <c r="L90" i="37"/>
  <c r="L91" i="37" s="1"/>
  <c r="M90" i="35"/>
  <c r="L90" i="35"/>
  <c r="L91" i="35" s="1"/>
  <c r="M90" i="33"/>
  <c r="L90" i="33"/>
  <c r="L91" i="33" s="1"/>
  <c r="M90" i="30"/>
  <c r="L90" i="30"/>
  <c r="L91" i="30" s="1"/>
  <c r="M90" i="28"/>
  <c r="L90" i="28"/>
  <c r="L91" i="28" s="1"/>
  <c r="D13" i="6"/>
  <c r="D13" i="7" s="1"/>
  <c r="O13" i="7" s="1"/>
  <c r="O12" i="7" s="1"/>
  <c r="E55" i="7" l="1"/>
  <c r="G55" i="7"/>
  <c r="M90" i="7"/>
  <c r="D33" i="6"/>
  <c r="D33" i="7" s="1"/>
  <c r="O33" i="7" s="1"/>
  <c r="F55" i="7" s="1"/>
  <c r="L71" i="7" l="1"/>
  <c r="M71" i="7" s="1"/>
  <c r="L72" i="7"/>
  <c r="M72" i="7" s="1"/>
  <c r="L73" i="7"/>
  <c r="M73" i="7" s="1"/>
  <c r="L74" i="7"/>
  <c r="M74" i="7" s="1"/>
  <c r="L75" i="7"/>
  <c r="M75" i="7" s="1"/>
  <c r="C63" i="7"/>
  <c r="C64" i="7"/>
  <c r="D64" i="7" s="1"/>
  <c r="C68" i="7"/>
  <c r="D68" i="7" s="1"/>
  <c r="L62" i="7"/>
  <c r="M62" i="7" s="1"/>
  <c r="C75" i="7"/>
  <c r="D75" i="7" s="1"/>
  <c r="C70" i="7"/>
  <c r="D70" i="7" s="1"/>
  <c r="C73" i="7"/>
  <c r="D73" i="7" s="1"/>
  <c r="C69" i="7"/>
  <c r="D69" i="7" s="1"/>
  <c r="L61" i="7"/>
  <c r="C77" i="7"/>
  <c r="D77" i="7" s="1"/>
  <c r="C66" i="7"/>
  <c r="D66" i="7" s="1"/>
  <c r="C71" i="7"/>
  <c r="D71" i="7" s="1"/>
  <c r="C74" i="7"/>
  <c r="D74" i="7" s="1"/>
  <c r="C65" i="7"/>
  <c r="D65" i="7" s="1"/>
  <c r="C76" i="7"/>
  <c r="D76" i="7" s="1"/>
  <c r="C72" i="7"/>
  <c r="D72" i="7" s="1"/>
  <c r="C67" i="7"/>
  <c r="D67" i="7" s="1"/>
  <c r="L63" i="7"/>
  <c r="M63" i="7" s="1"/>
  <c r="L64" i="7"/>
  <c r="M64" i="7" s="1"/>
  <c r="L65" i="7"/>
  <c r="M65" i="7" s="1"/>
  <c r="L66" i="7"/>
  <c r="M66" i="7" s="1"/>
  <c r="L67" i="7"/>
  <c r="M67" i="7" s="1"/>
  <c r="L68" i="7"/>
  <c r="M68" i="7" s="1"/>
  <c r="L69" i="7"/>
  <c r="M69" i="7" s="1"/>
  <c r="L70" i="7"/>
  <c r="M70" i="7" s="1"/>
  <c r="F55" i="6"/>
  <c r="M61" i="7" l="1"/>
  <c r="M91" i="7" s="1"/>
  <c r="E57" i="7" s="1"/>
  <c r="L91" i="7"/>
  <c r="D63" i="7"/>
  <c r="D78" i="7" s="1"/>
  <c r="E56" i="7" s="1"/>
  <c r="C78" i="7"/>
  <c r="K61" i="6"/>
  <c r="F56" i="7" l="1"/>
  <c r="G56" i="7"/>
  <c r="G57" i="7"/>
  <c r="F57" i="7"/>
  <c r="K62" i="6"/>
  <c r="K63" i="6" s="1"/>
  <c r="K64" i="6" l="1"/>
  <c r="K65" i="6" l="1"/>
  <c r="K66" i="6" l="1"/>
  <c r="K67" i="6" l="1"/>
  <c r="K68" i="6" l="1"/>
  <c r="K69" i="6" l="1"/>
  <c r="K70" i="6" l="1"/>
  <c r="K71" i="6" l="1"/>
  <c r="K72" i="6" l="1"/>
  <c r="C63" i="6" l="1"/>
  <c r="D63" i="6" s="1"/>
  <c r="K73" i="6"/>
  <c r="K74" i="6" l="1"/>
  <c r="K75" i="6" s="1"/>
  <c r="K76" i="6" s="1"/>
  <c r="K77" i="6" l="1"/>
  <c r="K78" i="6" l="1"/>
  <c r="K79" i="6" l="1"/>
  <c r="K80" i="6" l="1"/>
  <c r="K81" i="6" s="1"/>
  <c r="K82" i="6" s="1"/>
  <c r="K83" i="6" s="1"/>
  <c r="K84" i="6" s="1"/>
  <c r="K85" i="6" s="1"/>
  <c r="K86" i="6" s="1"/>
  <c r="L86" i="6" l="1"/>
  <c r="K87" i="6"/>
  <c r="K88" i="6" s="1"/>
  <c r="K89" i="6" s="1"/>
  <c r="L81" i="6"/>
  <c r="M81" i="6" s="1"/>
  <c r="K90" i="6" l="1"/>
  <c r="L89" i="6"/>
  <c r="M89" i="6" s="1"/>
  <c r="L82" i="6"/>
  <c r="M82" i="6" s="1"/>
  <c r="L90" i="6" l="1"/>
  <c r="M90" i="6" s="1"/>
  <c r="L83" i="6"/>
  <c r="M83" i="6" s="1"/>
  <c r="L84" i="6" l="1"/>
  <c r="M84" i="6" s="1"/>
  <c r="L85" i="6" l="1"/>
  <c r="M85" i="6" s="1"/>
  <c r="M86" i="6" l="1"/>
  <c r="L87" i="6" l="1"/>
  <c r="M87" i="6" s="1"/>
  <c r="L88" i="6" l="1"/>
  <c r="M88" i="6" s="1"/>
  <c r="L76" i="6" l="1"/>
  <c r="M76" i="6" s="1"/>
  <c r="L79" i="6"/>
  <c r="M79" i="6" s="1"/>
  <c r="L78" i="6"/>
  <c r="M78" i="6" s="1"/>
  <c r="L77" i="6"/>
  <c r="M77" i="6" s="1"/>
  <c r="L80" i="6"/>
  <c r="M80" i="6" s="1"/>
  <c r="C73" i="6"/>
  <c r="D73" i="6" s="1"/>
  <c r="L63" i="6"/>
  <c r="M63" i="6" s="1"/>
  <c r="C67" i="6"/>
  <c r="D67" i="6" s="1"/>
  <c r="C77" i="6"/>
  <c r="D77" i="6" s="1"/>
  <c r="L73" i="6"/>
  <c r="M73" i="6" s="1"/>
  <c r="C75" i="6"/>
  <c r="D75" i="6" s="1"/>
  <c r="L75" i="6"/>
  <c r="M75" i="6" s="1"/>
  <c r="L70" i="6"/>
  <c r="M70" i="6" s="1"/>
  <c r="L69" i="6"/>
  <c r="M69" i="6" s="1"/>
  <c r="C64" i="6"/>
  <c r="L74" i="6"/>
  <c r="M74" i="6" s="1"/>
  <c r="C76" i="6"/>
  <c r="D76" i="6" s="1"/>
  <c r="L62" i="6"/>
  <c r="M62" i="6" s="1"/>
  <c r="C66" i="6"/>
  <c r="D66" i="6" s="1"/>
  <c r="L61" i="6"/>
  <c r="C69" i="6"/>
  <c r="D69" i="6" s="1"/>
  <c r="C74" i="6"/>
  <c r="D74" i="6" s="1"/>
  <c r="L67" i="6"/>
  <c r="M67" i="6" s="1"/>
  <c r="L65" i="6"/>
  <c r="M65" i="6" s="1"/>
  <c r="L68" i="6"/>
  <c r="M68" i="6" s="1"/>
  <c r="L72" i="6"/>
  <c r="M72" i="6" s="1"/>
  <c r="C68" i="6"/>
  <c r="D68" i="6" s="1"/>
  <c r="C71" i="6"/>
  <c r="D71" i="6" s="1"/>
  <c r="C65" i="6"/>
  <c r="D65" i="6" s="1"/>
  <c r="C70" i="6"/>
  <c r="D70" i="6" s="1"/>
  <c r="L71" i="6"/>
  <c r="M71" i="6" s="1"/>
  <c r="C72" i="6"/>
  <c r="D72" i="6" s="1"/>
  <c r="L64" i="6"/>
  <c r="M64" i="6" s="1"/>
  <c r="L66" i="6"/>
  <c r="M66" i="6" s="1"/>
  <c r="M61" i="6" l="1"/>
  <c r="M91" i="6" s="1"/>
  <c r="E57" i="6" s="1"/>
  <c r="L91" i="6"/>
  <c r="D64" i="6"/>
  <c r="D78" i="6" s="1"/>
  <c r="E56" i="6" s="1"/>
  <c r="C78" i="6"/>
  <c r="G56" i="6" l="1"/>
  <c r="F56" i="6"/>
  <c r="G57" i="6"/>
  <c r="F57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<sst xmlns="http://schemas.openxmlformats.org/spreadsheetml/2006/main" count="1336" uniqueCount="229">
  <si>
    <t>Vsebina</t>
  </si>
  <si>
    <t>Navodila</t>
  </si>
  <si>
    <t>Osnovni podatki</t>
  </si>
  <si>
    <t>Referenčne količine</t>
  </si>
  <si>
    <t>Skupni zajamčeni prihranki</t>
  </si>
  <si>
    <t>Seznam objektov</t>
  </si>
  <si>
    <t>Št.</t>
  </si>
  <si>
    <t>ID</t>
  </si>
  <si>
    <t>Naslov</t>
  </si>
  <si>
    <t>KO / št. stavbe</t>
  </si>
  <si>
    <t>Kontaktna oseba</t>
  </si>
  <si>
    <t>Navodila za izpolnjevanje, obrazložitve, opombe</t>
  </si>
  <si>
    <t>Navodila za izpolnjevanje</t>
  </si>
  <si>
    <t>Izpolniti pri oddaji ponudbe</t>
  </si>
  <si>
    <t>Izpolniti po zaključenem obračunskem obdobju</t>
  </si>
  <si>
    <t>Zaokroževanje</t>
  </si>
  <si>
    <t>Strošek, EUR</t>
  </si>
  <si>
    <t>2 decimalni mesti</t>
  </si>
  <si>
    <t>Cena, EUR/MWh</t>
  </si>
  <si>
    <t>Moč, kW</t>
  </si>
  <si>
    <t>0 decimalnih mest</t>
  </si>
  <si>
    <t xml:space="preserve">Opombe: </t>
  </si>
  <si>
    <t>Vsi zneski so BREZ DDV.</t>
  </si>
  <si>
    <t>Kratice</t>
  </si>
  <si>
    <t>ZP</t>
  </si>
  <si>
    <t>EE</t>
  </si>
  <si>
    <t>Električna energija</t>
  </si>
  <si>
    <t>EUR/MWh</t>
  </si>
  <si>
    <t>EUR</t>
  </si>
  <si>
    <t>Vzdrževanje</t>
  </si>
  <si>
    <t>Referenčni stroški</t>
  </si>
  <si>
    <t>Pogodbeno zagotavljanje prihrankov</t>
  </si>
  <si>
    <t>Osnovni podatki o objektu</t>
  </si>
  <si>
    <t>Referenčna raba električna energija</t>
  </si>
  <si>
    <t>Neto sedanja vrednost</t>
  </si>
  <si>
    <t>Izračun neto sedanje vrednosti:</t>
  </si>
  <si>
    <t>leto</t>
  </si>
  <si>
    <t>Prihranek</t>
  </si>
  <si>
    <t>NSV</t>
  </si>
  <si>
    <t>SKUPAJ NSV:</t>
  </si>
  <si>
    <t>Diskontna stopnja</t>
  </si>
  <si>
    <t>pogodbena doba:</t>
  </si>
  <si>
    <t>Izračun neto sedanje vrednosti</t>
  </si>
  <si>
    <t>Skupne vrednosti</t>
  </si>
  <si>
    <t>Neto sedanja vrednost prihrankov - 15 let</t>
  </si>
  <si>
    <t>Neto sedanja vrednost prihrankov - pogodbena doba</t>
  </si>
  <si>
    <t>/</t>
  </si>
  <si>
    <t xml:space="preserve">Obračun </t>
  </si>
  <si>
    <t>Povzetek obračuna</t>
  </si>
  <si>
    <t>PROGRAM IZVAJANJA ZA PODELITEV KONCESIJE ZA IZVEDBO "SONČNE ELEKTRARNE NA JAVNIH OBJEKTIH V LASTI OBČINE BREŽICE"</t>
  </si>
  <si>
    <t>FV</t>
  </si>
  <si>
    <t>Fotovoltaična naprava</t>
  </si>
  <si>
    <t>BHE</t>
  </si>
  <si>
    <t>Baterijski hranilnik energije</t>
  </si>
  <si>
    <t>Energija, MWh</t>
  </si>
  <si>
    <t xml:space="preserve">* Stroški vzdrževanja energetskih naprav vključujejo tekoče vzdrževanje, redno servisiranje, zakonske preglede ipd. </t>
  </si>
  <si>
    <t>** Stroški in cene vključujejo celoten strošek pridobitve energije, ki vključuje omrežnino, distribucijo, prispevke in trošarine (brez DDV).</t>
  </si>
  <si>
    <t>Tip samooskrbe</t>
  </si>
  <si>
    <t>Naziv naprave/objekta</t>
  </si>
  <si>
    <t>IS</t>
  </si>
  <si>
    <t>MWh/a</t>
  </si>
  <si>
    <t>EUR/a</t>
  </si>
  <si>
    <t>Referenčna poraba</t>
  </si>
  <si>
    <t>Merilno mesto naprave/objekta</t>
  </si>
  <si>
    <t>Referenčna cena električne energije</t>
  </si>
  <si>
    <t>Referenčni strošek električne energije</t>
  </si>
  <si>
    <t>Proizvodnja električne energije</t>
  </si>
  <si>
    <t>Skupna proizvodnja električne energije</t>
  </si>
  <si>
    <t>Vzdrževanje naprave za samooskrbo</t>
  </si>
  <si>
    <t>Stroški električne energije in vzdrževanja</t>
  </si>
  <si>
    <t>Cena energije</t>
  </si>
  <si>
    <t xml:space="preserve">SS </t>
  </si>
  <si>
    <t>Skupnostna samooskrba</t>
  </si>
  <si>
    <t>Individualna samooskrba</t>
  </si>
  <si>
    <t>KO</t>
  </si>
  <si>
    <t>Katastrska občina</t>
  </si>
  <si>
    <t>Letni stroški vzdrževanja</t>
  </si>
  <si>
    <t>Investicijski strošek naprave</t>
  </si>
  <si>
    <t>Zajamčeni letni neto prihranek</t>
  </si>
  <si>
    <t>Subvencija</t>
  </si>
  <si>
    <t>Strošek financiranja</t>
  </si>
  <si>
    <t>SS</t>
  </si>
  <si>
    <t>SE Mladinski center</t>
  </si>
  <si>
    <t>SE Kulturni dom Dobova 1</t>
  </si>
  <si>
    <t>SE Stadion Brežice 1</t>
  </si>
  <si>
    <t>SE Osnovna šola Artiče - črpališče</t>
  </si>
  <si>
    <t>SE Prosvetni dom Artiče</t>
  </si>
  <si>
    <t>SE Zdravstvena postaja Bizeljsko</t>
  </si>
  <si>
    <t>SE Osnovna šola Dobova 1</t>
  </si>
  <si>
    <t>SE Dom krajanov Velike Malence</t>
  </si>
  <si>
    <t>SE Podružnica šola Kapele</t>
  </si>
  <si>
    <t>SE Osnovna šola Velika Dolina 1</t>
  </si>
  <si>
    <t>SE Kulturni dom Dobova 2</t>
  </si>
  <si>
    <t>SE Stadion Brežice 2</t>
  </si>
  <si>
    <t>SE Osnovna šola Artiče 1</t>
  </si>
  <si>
    <t>SE Osnovna šola Artiče 2</t>
  </si>
  <si>
    <t>SE Zdravstveni dom Brežice</t>
  </si>
  <si>
    <t>SE Osnovna šola Brežice</t>
  </si>
  <si>
    <t>SE Vrtec Mavrica</t>
  </si>
  <si>
    <t>SE Osnovna šola Velika Dolina 2</t>
  </si>
  <si>
    <t>SE Osnovna šola Cerklje ob Krki</t>
  </si>
  <si>
    <t>SE Dom Kulture Brežice</t>
  </si>
  <si>
    <t>SE Knjižnica Brežice</t>
  </si>
  <si>
    <t>SE Osnovna šola Bizeljsko</t>
  </si>
  <si>
    <t>SE Osnovna šola Pišece</t>
  </si>
  <si>
    <t>SE Osnovna šola Dobova 2</t>
  </si>
  <si>
    <t>SE ŠD Brežice</t>
  </si>
  <si>
    <t>Občinska stavba. CPB 18, Brežice</t>
  </si>
  <si>
    <t>Mestna hiša CPB</t>
  </si>
  <si>
    <t>Glasbena šola Brežice</t>
  </si>
  <si>
    <t xml:space="preserve">Večgeneracijski center </t>
  </si>
  <si>
    <t>Lekarna Brežice, Černelčeva cesta 8</t>
  </si>
  <si>
    <t>Osnovna šola Globoko</t>
  </si>
  <si>
    <t>Vrtec Dobova</t>
  </si>
  <si>
    <t>Gubčeva 10a, Brežice</t>
  </si>
  <si>
    <t>Ulica bratov Gerjovičev 48, Dobova</t>
  </si>
  <si>
    <t>Kapele 4a, Kapele</t>
  </si>
  <si>
    <t>Cesta bratov Milavcev 18, Brežice</t>
  </si>
  <si>
    <t>Artiče 38, Artiče</t>
  </si>
  <si>
    <t>Bizeljska cesta 49, Bizeljsko</t>
  </si>
  <si>
    <t>Velika Dolina 30, Velika Dolina</t>
  </si>
  <si>
    <t>Kapelska cesta 25, Dobova</t>
  </si>
  <si>
    <t>Velike Malence 18, Krška vas</t>
  </si>
  <si>
    <t>Černelčeva cesta 8, Brežice</t>
  </si>
  <si>
    <t>Levstikova 18, Brežice</t>
  </si>
  <si>
    <t>Šolska ulica 5, Brežice</t>
  </si>
  <si>
    <t>Cerklje ob Krki 3, Cerklje</t>
  </si>
  <si>
    <t>Trg Jožeta Toporišiča 3, Brežice</t>
  </si>
  <si>
    <t>Trg Jožeta Toporišiča 1, Brežice</t>
  </si>
  <si>
    <t>Bizeljska cesta 78, Bizeljsko</t>
  </si>
  <si>
    <t>Pišece 34, Pišece</t>
  </si>
  <si>
    <t>Černelčeva cesta 10, Brežice</t>
  </si>
  <si>
    <t>Artiče 39, Artiče</t>
  </si>
  <si>
    <t>Moč naprave, kWp</t>
  </si>
  <si>
    <t>Letna poraba objekta, MWh/a</t>
  </si>
  <si>
    <t>Balon</t>
  </si>
  <si>
    <t>ŠD Dobova</t>
  </si>
  <si>
    <t>Proizvodnja za samooskrbo</t>
  </si>
  <si>
    <t>Proizvodnja viškov</t>
  </si>
  <si>
    <t>Skupnost</t>
  </si>
  <si>
    <t>Moč naprave za samooskrbo</t>
  </si>
  <si>
    <t>kWp</t>
  </si>
  <si>
    <t>to dobimo mi</t>
  </si>
  <si>
    <t>Nova zagotovljena cena električne energije</t>
  </si>
  <si>
    <t>Stroški v času trajanja pogodbe</t>
  </si>
  <si>
    <t>Referenčna cena viškov</t>
  </si>
  <si>
    <t>%</t>
  </si>
  <si>
    <t>Delež financiranja zasebnega partnerja</t>
  </si>
  <si>
    <t>Faktor primarne energije</t>
  </si>
  <si>
    <t>2-5941</t>
  </si>
  <si>
    <t>2-5638</t>
  </si>
  <si>
    <t>2-183309</t>
  </si>
  <si>
    <t>2-5845</t>
  </si>
  <si>
    <t>2-5806</t>
  </si>
  <si>
    <t>2-5801</t>
  </si>
  <si>
    <t>2-5364</t>
  </si>
  <si>
    <t>2-163515</t>
  </si>
  <si>
    <t>2-5669</t>
  </si>
  <si>
    <t>2-6235</t>
  </si>
  <si>
    <t>2-8103804</t>
  </si>
  <si>
    <t>2-8103771</t>
  </si>
  <si>
    <t>2-8103788</t>
  </si>
  <si>
    <t>2-8104159</t>
  </si>
  <si>
    <t>2-8104139</t>
  </si>
  <si>
    <t>2-8103798</t>
  </si>
  <si>
    <t>2-8104201</t>
  </si>
  <si>
    <t>2-8104205</t>
  </si>
  <si>
    <t>2-8103808</t>
  </si>
  <si>
    <t>2-8103737</t>
  </si>
  <si>
    <t>2-8103729</t>
  </si>
  <si>
    <t>2-8103279</t>
  </si>
  <si>
    <t>2-8103745</t>
  </si>
  <si>
    <t>2-8104130</t>
  </si>
  <si>
    <t>2-8103287</t>
  </si>
  <si>
    <t>2-8104175</t>
  </si>
  <si>
    <t>1300/323</t>
  </si>
  <si>
    <t>1296/10</t>
  </si>
  <si>
    <t>1290/274</t>
  </si>
  <si>
    <t>1283/262</t>
  </si>
  <si>
    <t>1279/413</t>
  </si>
  <si>
    <t>1279/305</t>
  </si>
  <si>
    <t>1257/588</t>
  </si>
  <si>
    <t>1308/332</t>
  </si>
  <si>
    <t>1292/401, 1292/578</t>
  </si>
  <si>
    <t>1306/1393</t>
  </si>
  <si>
    <t>Gubčeva ulica 10a, Brežice</t>
  </si>
  <si>
    <t>1279/413, 1279/15</t>
  </si>
  <si>
    <t>1300/134</t>
  </si>
  <si>
    <t>1300/385</t>
  </si>
  <si>
    <t>1300/1151</t>
  </si>
  <si>
    <t>1308/834</t>
  </si>
  <si>
    <t>1302/7, 1302/1285</t>
  </si>
  <si>
    <t>1300/157</t>
  </si>
  <si>
    <t>1300/151</t>
  </si>
  <si>
    <t>1255/72</t>
  </si>
  <si>
    <t>1269/509</t>
  </si>
  <si>
    <t>1300/1138</t>
  </si>
  <si>
    <t>EUR/kWp</t>
  </si>
  <si>
    <t>Manki energije</t>
  </si>
  <si>
    <t>Nova cena oskrbe z električno energijo</t>
  </si>
  <si>
    <t>Strošek financiranja javnega partnerja</t>
  </si>
  <si>
    <t>JP</t>
  </si>
  <si>
    <t>Strošek financiranja zasebnega partnerja</t>
  </si>
  <si>
    <t>Stroški električne energije javnega partnerja</t>
  </si>
  <si>
    <t>Merila</t>
  </si>
  <si>
    <t>Prihranek primarne energije</t>
  </si>
  <si>
    <t>Delež prihrankov primarne energije za koncedenta</t>
  </si>
  <si>
    <t>Trajanje koncesijskega razmerja</t>
  </si>
  <si>
    <t>a</t>
  </si>
  <si>
    <t>Pojasnila:</t>
  </si>
  <si>
    <t>Višina investicije javnega partnerja</t>
  </si>
  <si>
    <t>Referenčna cena električne energije zajema ceno za celotno oskrbo  = (strošek dobave, strošek omrežnine, strošek prispevkov, trošarin)/(poraba energije) v EUR/MWh</t>
  </si>
  <si>
    <t>Nova zagotovljena cena električne energije zajema celotni strošek oskrbe z energijo za javnega partnerja v času trajanja koncesijskega razmerja</t>
  </si>
  <si>
    <t>Prirhanek primarne energije je definiran kot produkt proizvodnje električne energije in faktorja primarne energije za električno energijo</t>
  </si>
  <si>
    <t>Delež prihrankov primarne energije za koncedenta predstavlja delež od proizvedene primarne energije, ki je namenjena samooskrbi</t>
  </si>
  <si>
    <t>Referenčna raba električne energije</t>
  </si>
  <si>
    <t>Specifična cena vzdrževanja naprav za samooskrbo</t>
  </si>
  <si>
    <t>Naprava</t>
  </si>
  <si>
    <t>Celotni projekt</t>
  </si>
  <si>
    <t>Dobavljena električna energija v obračunskem obdobju</t>
  </si>
  <si>
    <t>Razlika med dobavljeno in referenčno količino energije</t>
  </si>
  <si>
    <t>Prilagoditev stroškov v obračunskem obdobju</t>
  </si>
  <si>
    <t>Dejanski strošek oskrbe v obračunskem obdobju</t>
  </si>
  <si>
    <t>Čistilna naprava Brežice</t>
  </si>
  <si>
    <t>Mostec, 8257 Dobova</t>
  </si>
  <si>
    <t>1297-834, 1297-833</t>
  </si>
  <si>
    <t>SE Občina Brežice (MC)</t>
  </si>
  <si>
    <t>Opomba: Upoštevana simbolična poraba 1 MWh kot razlika od porabe po net-meteringu</t>
  </si>
  <si>
    <t>Opomba: Ni prijava v JR NOO, je v obsegu koncesije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</si>
</sst>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#,##0.00\ &quot;€&quot;_);[Red]\(#,##0.00\ &quot;€&quot;\)"/>
    <numFmt numFmtId="44" formatCode="_ * #,##0.00_)\ &quot;€&quot;_ ;_ * \(#,##0.00\)\ &quot;€&quot;_ ;_ * &quot;-&quot;??_)\ &quot;€&quot;_ ;_ @_ "/>
    <numFmt numFmtId="164" formatCode="_-* #,##0.00\ &quot;€&quot;_-;\-* #,##0.00\ &quot;€&quot;_-;_-* &quot;-&quot;??\ &quot;€&quot;_-;_-@_-"/>
    <numFmt numFmtId="165" formatCode="_-* #,##0.00_-;\-* #,##0.00_-;_-* &quot;-&quot;??_-;_-@_-"/>
    <numFmt numFmtId="166" formatCode="#,##0.00\ &quot;€/MWh&quot;"/>
    <numFmt numFmtId="167" formatCode="#,##0.0000"/>
    <numFmt numFmtId="168" formatCode="_-* #,##0.00\ _€_-;\-* #,##0.00\ _€_-;_-* &quot;-&quot;??\ _€_-;_-@_-"/>
    <numFmt numFmtId="169" formatCode="_(&quot;€&quot;* #,##0.00_);_(&quot;€&quot;* \(#,##0.00\);_(&quot;€&quot;* &quot;-&quot;??_);_(@_)"/>
    <numFmt numFmtId="170" formatCode="0.000"/>
    <numFmt numFmtId="171" formatCode="0.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sz val="8"/>
      <name val="Calibri"/>
      <family val="2"/>
      <scheme val="minor"/>
    </font>
    <font>
      <sz val="10"/>
      <color theme="0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9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6E6FF"/>
        <bgColor indexed="64"/>
      </patternFill>
    </fill>
    <fill>
      <patternFill patternType="solid">
        <fgColor rgb="FFD7F9F8"/>
        <bgColor indexed="64"/>
      </patternFill>
    </fill>
    <fill>
      <patternFill patternType="solid">
        <fgColor rgb="FFFFFFEA"/>
        <bgColor indexed="64"/>
      </patternFill>
    </fill>
    <fill>
      <patternFill patternType="solid">
        <fgColor rgb="FFFFF0D4"/>
        <bgColor indexed="64"/>
      </patternFill>
    </fill>
    <fill>
      <patternFill patternType="solid">
        <fgColor rgb="FFFBE0E0"/>
        <bgColor indexed="64"/>
      </patternFill>
    </fill>
    <fill>
      <patternFill patternType="solid">
        <fgColor rgb="FFE5D4EF"/>
        <bgColor indexed="64"/>
      </patternFill>
    </fill>
    <fill>
      <patternFill patternType="solid">
        <fgColor theme="0" tint="-0.34998626667073579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31">
    <xf numFmtId="0" fontId="0" fillId="0" borderId="0"/>
    <xf numFmtId="9" fontId="6" fillId="0" borderId="0" applyFont="0" applyFill="0" applyBorder="0" applyAlignment="0" applyProtection="0"/>
    <xf numFmtId="0" fontId="13" fillId="0" borderId="0" applyFill="0" applyBorder="0" applyProtection="0">
      <alignment horizontal="left"/>
    </xf>
    <xf numFmtId="0" fontId="17" fillId="0" borderId="0"/>
    <xf numFmtId="164" fontId="5" fillId="0" borderId="1" applyFont="0" applyFill="0" applyBorder="0" applyProtection="0">
      <alignment vertical="center"/>
    </xf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3" fontId="9" fillId="0" borderId="1" applyFill="0" applyBorder="0">
      <alignment horizontal="center" vertical="center"/>
    </xf>
    <xf numFmtId="166" fontId="5" fillId="0" borderId="1" applyFont="0" applyFill="0" applyBorder="0" applyProtection="0">
      <alignment horizontal="right" vertical="center"/>
    </xf>
    <xf numFmtId="0" fontId="12" fillId="0" borderId="0" applyFill="0" applyBorder="0" applyProtection="0">
      <alignment horizontal="left" vertical="center"/>
    </xf>
    <xf numFmtId="0" fontId="13" fillId="0" borderId="0" applyFill="0" applyBorder="0" applyProtection="0">
      <alignment horizontal="left" vertical="center"/>
    </xf>
    <xf numFmtId="0" fontId="5" fillId="0" borderId="0"/>
    <xf numFmtId="167" fontId="4" fillId="0" borderId="1" applyFill="0" applyBorder="0">
      <alignment horizontal="center" vertical="center"/>
    </xf>
    <xf numFmtId="3" fontId="3" fillId="0" borderId="1" applyFill="0" applyBorder="0">
      <alignment horizontal="center" vertical="center"/>
    </xf>
    <xf numFmtId="165" fontId="6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0" fontId="17" fillId="0" borderId="0"/>
    <xf numFmtId="164" fontId="1" fillId="0" borderId="1" applyFont="0" applyFill="0" applyBorder="0" applyProtection="0">
      <alignment vertical="center"/>
    </xf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3" fontId="2" fillId="0" borderId="1" applyFill="0" applyBorder="0">
      <alignment horizontal="center" vertical="center"/>
    </xf>
    <xf numFmtId="166" fontId="1" fillId="0" borderId="1" applyFont="0" applyFill="0" applyBorder="0" applyProtection="0">
      <alignment horizontal="right" vertical="center"/>
    </xf>
    <xf numFmtId="0" fontId="1" fillId="0" borderId="0"/>
    <xf numFmtId="167" fontId="2" fillId="0" borderId="1" applyFill="0" applyBorder="0">
      <alignment horizontal="center" vertical="center"/>
    </xf>
    <xf numFmtId="3" fontId="2" fillId="0" borderId="1" applyFill="0" applyBorder="0">
      <alignment horizontal="center" vertical="center"/>
    </xf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17" fillId="0" borderId="0" applyFont="0" applyFill="0" applyBorder="0" applyAlignment="0" applyProtection="0"/>
  </cellStyleXfs>
  <cellXfs count="364">
    <xf numFmtId="0" fontId="0" fillId="0" borderId="0" xfId="0"/>
    <xf numFmtId="0" fontId="14" fillId="4" borderId="5" xfId="0" applyFont="1" applyFill="1" applyBorder="1" applyAlignment="1">
      <alignment vertical="center"/>
    </xf>
    <xf numFmtId="0" fontId="20" fillId="8" borderId="10" xfId="3" applyFont="1" applyFill="1" applyBorder="1" applyAlignment="1" applyProtection="1">
      <alignment horizontal="center" vertical="center"/>
      <protection hidden="1"/>
    </xf>
    <xf numFmtId="0" fontId="20" fillId="8" borderId="1" xfId="3" applyFont="1" applyFill="1" applyBorder="1" applyAlignment="1" applyProtection="1">
      <alignment horizontal="center" vertical="center"/>
      <protection hidden="1"/>
    </xf>
    <xf numFmtId="0" fontId="20" fillId="8" borderId="9" xfId="3" applyFont="1" applyFill="1" applyBorder="1" applyAlignment="1" applyProtection="1">
      <alignment horizontal="center" vertical="center"/>
      <protection hidden="1"/>
    </xf>
    <xf numFmtId="0" fontId="9" fillId="9" borderId="0" xfId="0" applyFont="1" applyFill="1"/>
    <xf numFmtId="0" fontId="0" fillId="9" borderId="0" xfId="0" applyFill="1"/>
    <xf numFmtId="0" fontId="13" fillId="9" borderId="0" xfId="11" applyFill="1">
      <alignment horizontal="left" vertical="center"/>
    </xf>
    <xf numFmtId="0" fontId="12" fillId="9" borderId="0" xfId="10" applyFill="1">
      <alignment horizontal="left" vertical="center"/>
    </xf>
    <xf numFmtId="0" fontId="8" fillId="9" borderId="0" xfId="0" applyFont="1" applyFill="1" applyAlignment="1">
      <alignment horizontal="center" vertical="center"/>
    </xf>
    <xf numFmtId="0" fontId="8" fillId="9" borderId="0" xfId="0" applyFont="1" applyFill="1"/>
    <xf numFmtId="0" fontId="16" fillId="9" borderId="0" xfId="0" applyFont="1" applyFill="1"/>
    <xf numFmtId="0" fontId="20" fillId="8" borderId="17" xfId="3" applyFont="1" applyFill="1" applyBorder="1" applyAlignment="1" applyProtection="1">
      <alignment horizontal="center" vertical="center"/>
      <protection hidden="1"/>
    </xf>
    <xf numFmtId="0" fontId="19" fillId="8" borderId="19" xfId="3" applyFont="1" applyFill="1" applyBorder="1" applyAlignment="1" applyProtection="1">
      <alignment horizontal="left" vertical="center"/>
      <protection hidden="1"/>
    </xf>
    <xf numFmtId="0" fontId="19" fillId="8" borderId="20" xfId="3" applyFont="1" applyFill="1" applyBorder="1" applyAlignment="1" applyProtection="1">
      <alignment horizontal="left" vertical="center"/>
      <protection hidden="1"/>
    </xf>
    <xf numFmtId="0" fontId="19" fillId="8" borderId="21" xfId="3" applyFont="1" applyFill="1" applyBorder="1" applyAlignment="1" applyProtection="1">
      <alignment horizontal="left" vertical="center"/>
      <protection hidden="1"/>
    </xf>
    <xf numFmtId="0" fontId="4" fillId="9" borderId="0" xfId="0" applyFont="1" applyFill="1" applyAlignment="1">
      <alignment vertical="center"/>
    </xf>
    <xf numFmtId="0" fontId="7" fillId="9" borderId="0" xfId="0" applyFont="1" applyFill="1" applyAlignment="1">
      <alignment horizontal="center" vertical="center"/>
    </xf>
    <xf numFmtId="0" fontId="22" fillId="9" borderId="0" xfId="0" applyFont="1" applyFill="1" applyAlignment="1">
      <alignment vertical="center"/>
    </xf>
    <xf numFmtId="0" fontId="23" fillId="9" borderId="0" xfId="0" applyFont="1" applyFill="1"/>
    <xf numFmtId="0" fontId="7" fillId="9" borderId="0" xfId="0" applyFont="1" applyFill="1"/>
    <xf numFmtId="0" fontId="20" fillId="12" borderId="35" xfId="3" applyFont="1" applyFill="1" applyBorder="1" applyAlignment="1" applyProtection="1">
      <alignment horizontal="center" vertical="center"/>
      <protection hidden="1"/>
    </xf>
    <xf numFmtId="0" fontId="20" fillId="12" borderId="36" xfId="3" applyFont="1" applyFill="1" applyBorder="1" applyAlignment="1" applyProtection="1">
      <alignment horizontal="center" vertical="center"/>
      <protection hidden="1"/>
    </xf>
    <xf numFmtId="0" fontId="20" fillId="12" borderId="37" xfId="3" applyFont="1" applyFill="1" applyBorder="1" applyAlignment="1" applyProtection="1">
      <alignment horizontal="center" vertical="center"/>
      <protection hidden="1"/>
    </xf>
    <xf numFmtId="0" fontId="19" fillId="12" borderId="23" xfId="3" applyFont="1" applyFill="1" applyBorder="1" applyAlignment="1" applyProtection="1">
      <alignment horizontal="left" vertical="center"/>
      <protection hidden="1"/>
    </xf>
    <xf numFmtId="0" fontId="19" fillId="12" borderId="22" xfId="3" applyFont="1" applyFill="1" applyBorder="1" applyAlignment="1" applyProtection="1">
      <alignment horizontal="left" vertical="center"/>
      <protection hidden="1"/>
    </xf>
    <xf numFmtId="0" fontId="19" fillId="12" borderId="16" xfId="3" applyFont="1" applyFill="1" applyBorder="1" applyAlignment="1" applyProtection="1">
      <alignment horizontal="left" vertical="center"/>
      <protection hidden="1"/>
    </xf>
    <xf numFmtId="0" fontId="2" fillId="9" borderId="0" xfId="0" applyFont="1" applyFill="1"/>
    <xf numFmtId="0" fontId="2" fillId="0" borderId="9" xfId="0" applyFont="1" applyBorder="1" applyAlignment="1">
      <alignment horizontal="center" vertical="center"/>
    </xf>
    <xf numFmtId="0" fontId="2" fillId="4" borderId="6" xfId="0" applyFont="1" applyFill="1" applyBorder="1" applyAlignment="1">
      <alignment vertical="center"/>
    </xf>
    <xf numFmtId="0" fontId="2" fillId="4" borderId="7" xfId="0" applyFont="1" applyFill="1" applyBorder="1" applyAlignment="1">
      <alignment vertical="center"/>
    </xf>
    <xf numFmtId="0" fontId="17" fillId="0" borderId="10" xfId="3" applyBorder="1" applyAlignment="1" applyProtection="1">
      <alignment horizontal="center" vertical="center"/>
      <protection hidden="1"/>
    </xf>
    <xf numFmtId="0" fontId="2" fillId="9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/>
    </xf>
    <xf numFmtId="0" fontId="2" fillId="9" borderId="0" xfId="0" applyFont="1" applyFill="1" applyAlignment="1">
      <alignment vertical="center"/>
    </xf>
    <xf numFmtId="0" fontId="2" fillId="9" borderId="19" xfId="0" applyFont="1" applyFill="1" applyBorder="1" applyAlignment="1">
      <alignment vertical="center"/>
    </xf>
    <xf numFmtId="0" fontId="2" fillId="9" borderId="21" xfId="0" applyFont="1" applyFill="1" applyBorder="1" applyAlignment="1">
      <alignment vertical="center"/>
    </xf>
    <xf numFmtId="0" fontId="2" fillId="10" borderId="10" xfId="0" applyFont="1" applyFill="1" applyBorder="1" applyAlignment="1">
      <alignment vertical="center"/>
    </xf>
    <xf numFmtId="0" fontId="2" fillId="9" borderId="9" xfId="0" applyFont="1" applyFill="1" applyBorder="1" applyAlignment="1">
      <alignment vertical="center"/>
    </xf>
    <xf numFmtId="0" fontId="2" fillId="11" borderId="12" xfId="0" applyFont="1" applyFill="1" applyBorder="1" applyAlignment="1">
      <alignment vertical="center"/>
    </xf>
    <xf numFmtId="0" fontId="2" fillId="9" borderId="14" xfId="0" applyFont="1" applyFill="1" applyBorder="1" applyAlignment="1">
      <alignment vertical="center"/>
    </xf>
    <xf numFmtId="0" fontId="2" fillId="9" borderId="10" xfId="0" applyFont="1" applyFill="1" applyBorder="1" applyAlignment="1">
      <alignment vertical="center"/>
    </xf>
    <xf numFmtId="0" fontId="2" fillId="9" borderId="12" xfId="0" applyFont="1" applyFill="1" applyBorder="1" applyAlignment="1">
      <alignment vertical="center"/>
    </xf>
    <xf numFmtId="0" fontId="2" fillId="9" borderId="0" xfId="0" quotePrefix="1" applyFont="1" applyFill="1" applyAlignment="1">
      <alignment vertical="center"/>
    </xf>
    <xf numFmtId="0" fontId="2" fillId="0" borderId="14" xfId="0" applyFont="1" applyBorder="1" applyAlignment="1">
      <alignment horizontal="center" vertical="center" wrapText="1"/>
    </xf>
    <xf numFmtId="0" fontId="2" fillId="9" borderId="27" xfId="0" applyFont="1" applyFill="1" applyBorder="1" applyAlignment="1">
      <alignment vertical="center"/>
    </xf>
    <xf numFmtId="0" fontId="2" fillId="9" borderId="26" xfId="0" applyFont="1" applyFill="1" applyBorder="1" applyAlignment="1">
      <alignment vertical="center"/>
    </xf>
    <xf numFmtId="4" fontId="21" fillId="0" borderId="1" xfId="4" applyNumberFormat="1" applyFont="1" applyBorder="1" applyProtection="1">
      <alignment vertical="center"/>
      <protection hidden="1"/>
    </xf>
    <xf numFmtId="4" fontId="21" fillId="0" borderId="9" xfId="4" applyNumberFormat="1" applyFont="1" applyBorder="1" applyProtection="1">
      <alignment vertical="center"/>
      <protection hidden="1"/>
    </xf>
    <xf numFmtId="4" fontId="20" fillId="8" borderId="1" xfId="3" applyNumberFormat="1" applyFont="1" applyFill="1" applyBorder="1" applyAlignment="1" applyProtection="1">
      <alignment horizontal="right" vertical="center"/>
      <protection hidden="1"/>
    </xf>
    <xf numFmtId="4" fontId="20" fillId="8" borderId="9" xfId="4" applyNumberFormat="1" applyFont="1" applyFill="1" applyBorder="1" applyAlignment="1" applyProtection="1">
      <alignment horizontal="right" vertical="center"/>
      <protection hidden="1"/>
    </xf>
    <xf numFmtId="4" fontId="20" fillId="8" borderId="18" xfId="3" applyNumberFormat="1" applyFont="1" applyFill="1" applyBorder="1" applyAlignment="1" applyProtection="1">
      <alignment horizontal="right" vertical="center"/>
      <protection hidden="1"/>
    </xf>
    <xf numFmtId="4" fontId="20" fillId="8" borderId="14" xfId="4" applyNumberFormat="1" applyFont="1" applyFill="1" applyBorder="1" applyAlignment="1" applyProtection="1">
      <alignment horizontal="right" vertical="center"/>
      <protection hidden="1"/>
    </xf>
    <xf numFmtId="0" fontId="13" fillId="9" borderId="0" xfId="11" applyFill="1" applyProtection="1">
      <alignment horizontal="left" vertical="center"/>
    </xf>
    <xf numFmtId="0" fontId="17" fillId="10" borderId="34" xfId="3" applyFill="1" applyBorder="1" applyAlignment="1" applyProtection="1">
      <alignment horizontal="center" vertical="center"/>
      <protection locked="0"/>
    </xf>
    <xf numFmtId="0" fontId="12" fillId="9" borderId="0" xfId="10" applyFill="1" applyProtection="1">
      <alignment horizontal="left" vertical="center"/>
    </xf>
    <xf numFmtId="4" fontId="11" fillId="0" borderId="9" xfId="4" applyNumberFormat="1" applyFont="1" applyBorder="1" applyProtection="1">
      <alignment vertical="center"/>
    </xf>
    <xf numFmtId="4" fontId="21" fillId="0" borderId="30" xfId="4" applyNumberFormat="1" applyFont="1" applyBorder="1" applyAlignment="1" applyProtection="1">
      <alignment horizontal="right" vertical="center"/>
    </xf>
    <xf numFmtId="4" fontId="21" fillId="0" borderId="9" xfId="4" applyNumberFormat="1" applyFont="1" applyBorder="1" applyAlignment="1" applyProtection="1">
      <alignment horizontal="right" vertical="center"/>
    </xf>
    <xf numFmtId="165" fontId="2" fillId="9" borderId="0" xfId="15" applyFont="1" applyFill="1" applyProtection="1"/>
    <xf numFmtId="9" fontId="2" fillId="0" borderId="14" xfId="1" applyFont="1" applyBorder="1" applyAlignment="1" applyProtection="1">
      <alignment horizontal="center" vertical="center"/>
    </xf>
    <xf numFmtId="0" fontId="13" fillId="9" borderId="0" xfId="2" applyFill="1" applyProtection="1">
      <alignment horizontal="left"/>
    </xf>
    <xf numFmtId="0" fontId="2" fillId="10" borderId="1" xfId="0" applyFont="1" applyFill="1" applyBorder="1" applyAlignment="1" applyProtection="1">
      <alignment horizontal="left" vertical="center"/>
      <protection locked="0"/>
    </xf>
    <xf numFmtId="0" fontId="2" fillId="10" borderId="0" xfId="0" applyFont="1" applyFill="1" applyProtection="1">
      <protection locked="0"/>
    </xf>
    <xf numFmtId="0" fontId="2" fillId="10" borderId="1" xfId="0" applyFont="1" applyFill="1" applyBorder="1" applyAlignment="1" applyProtection="1">
      <alignment horizontal="center" vertical="center"/>
      <protection locked="0"/>
    </xf>
    <xf numFmtId="2" fontId="2" fillId="10" borderId="40" xfId="0" applyNumberFormat="1" applyFont="1" applyFill="1" applyBorder="1" applyAlignment="1" applyProtection="1">
      <alignment horizontal="right" vertical="center"/>
      <protection locked="0"/>
    </xf>
    <xf numFmtId="0" fontId="2" fillId="10" borderId="40" xfId="0" applyFont="1" applyFill="1" applyBorder="1" applyAlignment="1" applyProtection="1">
      <alignment horizontal="center" vertical="center"/>
      <protection locked="0"/>
    </xf>
    <xf numFmtId="0" fontId="2" fillId="10" borderId="1" xfId="0" applyFont="1" applyFill="1" applyBorder="1" applyAlignment="1" applyProtection="1">
      <alignment horizontal="left" vertical="center" wrapText="1"/>
      <protection locked="0"/>
    </xf>
    <xf numFmtId="0" fontId="2" fillId="10" borderId="1" xfId="0" applyFont="1" applyFill="1" applyBorder="1" applyAlignment="1" applyProtection="1">
      <alignment horizontal="center" vertical="center" wrapText="1"/>
      <protection locked="0"/>
    </xf>
    <xf numFmtId="0" fontId="2" fillId="10" borderId="24" xfId="0" applyFont="1" applyFill="1" applyBorder="1" applyAlignment="1" applyProtection="1">
      <alignment horizontal="left" vertical="center"/>
      <protection locked="0"/>
    </xf>
    <xf numFmtId="0" fontId="2" fillId="10" borderId="24" xfId="0" applyFont="1" applyFill="1" applyBorder="1" applyAlignment="1" applyProtection="1">
      <alignment horizontal="center" vertical="center" wrapText="1"/>
      <protection locked="0"/>
    </xf>
    <xf numFmtId="0" fontId="2" fillId="10" borderId="24" xfId="0" applyFont="1" applyFill="1" applyBorder="1" applyAlignment="1" applyProtection="1">
      <alignment horizontal="center" vertical="center"/>
      <protection locked="0"/>
    </xf>
    <xf numFmtId="2" fontId="2" fillId="10" borderId="38" xfId="0" applyNumberFormat="1" applyFont="1" applyFill="1" applyBorder="1" applyAlignment="1" applyProtection="1">
      <alignment horizontal="right" vertical="center"/>
      <protection locked="0"/>
    </xf>
    <xf numFmtId="0" fontId="2" fillId="10" borderId="38" xfId="0" applyFont="1" applyFill="1" applyBorder="1" applyAlignment="1" applyProtection="1">
      <alignment horizontal="right" vertical="center"/>
      <protection locked="0"/>
    </xf>
    <xf numFmtId="0" fontId="2" fillId="10" borderId="38" xfId="0" applyFont="1" applyFill="1" applyBorder="1" applyAlignment="1" applyProtection="1">
      <alignment horizontal="center" vertical="center"/>
      <protection locked="0"/>
    </xf>
    <xf numFmtId="3" fontId="17" fillId="10" borderId="1" xfId="8" applyFont="1" applyFill="1" applyBorder="1" applyProtection="1">
      <alignment horizontal="center" vertical="center"/>
      <protection locked="0"/>
    </xf>
    <xf numFmtId="3" fontId="17" fillId="10" borderId="9" xfId="8" applyFont="1" applyFill="1" applyBorder="1" applyProtection="1">
      <alignment horizontal="center" vertical="center"/>
      <protection locked="0"/>
    </xf>
    <xf numFmtId="3" fontId="17" fillId="10" borderId="40" xfId="8" applyFont="1" applyFill="1" applyBorder="1" applyProtection="1">
      <alignment horizontal="center" vertical="center"/>
      <protection locked="0"/>
    </xf>
    <xf numFmtId="4" fontId="2" fillId="10" borderId="11" xfId="8" applyNumberFormat="1" applyFont="1" applyFill="1" applyBorder="1" applyProtection="1">
      <alignment horizontal="center" vertical="center"/>
      <protection locked="0"/>
    </xf>
    <xf numFmtId="4" fontId="2" fillId="10" borderId="33" xfId="8" applyNumberFormat="1" applyFont="1" applyFill="1" applyBorder="1" applyProtection="1">
      <alignment horizontal="center" vertical="center"/>
      <protection locked="0"/>
    </xf>
    <xf numFmtId="4" fontId="2" fillId="10" borderId="9" xfId="8" applyNumberFormat="1" applyFont="1" applyFill="1" applyBorder="1" applyProtection="1">
      <alignment horizontal="center" vertical="center"/>
      <protection locked="0"/>
    </xf>
    <xf numFmtId="4" fontId="2" fillId="10" borderId="29" xfId="8" applyNumberFormat="1" applyFont="1" applyFill="1" applyBorder="1" applyProtection="1">
      <alignment horizontal="center" vertical="center"/>
      <protection locked="0"/>
    </xf>
    <xf numFmtId="4" fontId="2" fillId="10" borderId="1" xfId="8" applyNumberFormat="1" applyFont="1" applyFill="1" applyBorder="1" applyProtection="1">
      <alignment horizontal="center" vertical="center"/>
      <protection locked="0"/>
    </xf>
    <xf numFmtId="4" fontId="2" fillId="10" borderId="14" xfId="8" applyNumberFormat="1" applyFont="1" applyFill="1" applyBorder="1" applyProtection="1">
      <alignment horizontal="center" vertical="center"/>
      <protection locked="0"/>
    </xf>
    <xf numFmtId="4" fontId="2" fillId="10" borderId="45" xfId="8" applyNumberFormat="1" applyFont="1" applyFill="1" applyBorder="1" applyProtection="1">
      <alignment horizontal="center" vertical="center"/>
      <protection locked="0"/>
    </xf>
    <xf numFmtId="4" fontId="2" fillId="10" borderId="26" xfId="8" applyNumberFormat="1" applyFont="1" applyFill="1" applyBorder="1" applyProtection="1">
      <alignment horizontal="center" vertical="center"/>
      <protection locked="0"/>
    </xf>
    <xf numFmtId="3" fontId="17" fillId="10" borderId="40" xfId="8" quotePrefix="1" applyFont="1" applyFill="1" applyBorder="1" applyProtection="1">
      <alignment horizontal="center" vertical="center"/>
      <protection locked="0"/>
    </xf>
    <xf numFmtId="3" fontId="17" fillId="10" borderId="1" xfId="8" quotePrefix="1" applyFont="1" applyFill="1" applyBorder="1" applyProtection="1">
      <alignment horizontal="center" vertical="center"/>
      <protection locked="0"/>
    </xf>
    <xf numFmtId="3" fontId="17" fillId="10" borderId="9" xfId="8" quotePrefix="1" applyFont="1" applyFill="1" applyBorder="1" applyProtection="1">
      <alignment horizontal="center" vertical="center"/>
      <protection locked="0"/>
    </xf>
    <xf numFmtId="0" fontId="2" fillId="10" borderId="1" xfId="0" applyFont="1" applyFill="1" applyBorder="1" applyAlignment="1" applyProtection="1">
      <alignment horizontal="right" vertical="center"/>
      <protection locked="0"/>
    </xf>
    <xf numFmtId="0" fontId="2" fillId="10" borderId="24" xfId="0" applyFont="1" applyFill="1" applyBorder="1" applyAlignment="1" applyProtection="1">
      <alignment horizontal="right" vertical="center"/>
      <protection locked="0"/>
    </xf>
    <xf numFmtId="10" fontId="2" fillId="10" borderId="45" xfId="1" applyNumberFormat="1" applyFont="1" applyFill="1" applyBorder="1" applyAlignment="1" applyProtection="1">
      <alignment horizontal="center" vertical="center"/>
      <protection locked="0"/>
    </xf>
    <xf numFmtId="4" fontId="11" fillId="0" borderId="1" xfId="4" applyNumberFormat="1" applyFont="1" applyBorder="1" applyProtection="1">
      <alignment vertical="center"/>
    </xf>
    <xf numFmtId="4" fontId="11" fillId="0" borderId="13" xfId="4" applyNumberFormat="1" applyFont="1" applyBorder="1" applyProtection="1">
      <alignment vertical="center"/>
    </xf>
    <xf numFmtId="4" fontId="11" fillId="0" borderId="14" xfId="4" applyNumberFormat="1" applyFont="1" applyBorder="1" applyProtection="1">
      <alignment vertical="center"/>
    </xf>
    <xf numFmtId="4" fontId="17" fillId="10" borderId="1" xfId="8" applyNumberFormat="1" applyFont="1" applyFill="1" applyBorder="1" applyProtection="1">
      <alignment horizontal="center" vertical="center"/>
      <protection locked="0"/>
    </xf>
    <xf numFmtId="4" fontId="17" fillId="10" borderId="9" xfId="8" applyNumberFormat="1" applyFont="1" applyFill="1" applyBorder="1" applyProtection="1">
      <alignment horizontal="center" vertical="center"/>
      <protection locked="0"/>
    </xf>
    <xf numFmtId="10" fontId="2" fillId="10" borderId="29" xfId="1" applyNumberFormat="1" applyFont="1" applyFill="1" applyBorder="1" applyAlignment="1" applyProtection="1">
      <alignment horizontal="center" vertical="center"/>
      <protection locked="0"/>
    </xf>
    <xf numFmtId="4" fontId="2" fillId="10" borderId="13" xfId="8" applyNumberFormat="1" applyFont="1" applyFill="1" applyBorder="1" applyProtection="1">
      <alignment horizontal="center" vertical="center"/>
      <protection locked="0"/>
    </xf>
    <xf numFmtId="4" fontId="2" fillId="7" borderId="21" xfId="4" applyNumberFormat="1" applyFont="1" applyFill="1" applyBorder="1">
      <alignment vertical="center"/>
    </xf>
    <xf numFmtId="4" fontId="2" fillId="7" borderId="9" xfId="4" applyNumberFormat="1" applyFont="1" applyFill="1" applyBorder="1">
      <alignment vertical="center"/>
    </xf>
    <xf numFmtId="4" fontId="2" fillId="11" borderId="9" xfId="4" applyNumberFormat="1" applyFont="1" applyFill="1" applyBorder="1">
      <alignment vertical="center"/>
    </xf>
    <xf numFmtId="4" fontId="11" fillId="7" borderId="14" xfId="4" applyNumberFormat="1" applyFont="1" applyFill="1" applyBorder="1">
      <alignment vertical="center"/>
    </xf>
    <xf numFmtId="0" fontId="2" fillId="7" borderId="10" xfId="0" applyFont="1" applyFill="1" applyBorder="1" applyAlignment="1">
      <alignment vertical="center"/>
    </xf>
    <xf numFmtId="0" fontId="2" fillId="7" borderId="1" xfId="0" applyFont="1" applyFill="1" applyBorder="1" applyAlignment="1">
      <alignment horizontal="center"/>
    </xf>
    <xf numFmtId="0" fontId="11" fillId="7" borderId="12" xfId="0" applyFont="1" applyFill="1" applyBorder="1" applyAlignment="1">
      <alignment vertical="center" wrapText="1"/>
    </xf>
    <xf numFmtId="0" fontId="11" fillId="7" borderId="13" xfId="0" applyFont="1" applyFill="1" applyBorder="1" applyAlignment="1">
      <alignment horizontal="center"/>
    </xf>
    <xf numFmtId="0" fontId="2" fillId="7" borderId="19" xfId="0" applyFont="1" applyFill="1" applyBorder="1" applyAlignment="1">
      <alignment vertical="center"/>
    </xf>
    <xf numFmtId="0" fontId="2" fillId="7" borderId="20" xfId="0" applyFont="1" applyFill="1" applyBorder="1" applyAlignment="1">
      <alignment horizontal="center"/>
    </xf>
    <xf numFmtId="2" fontId="17" fillId="10" borderId="24" xfId="0" applyNumberFormat="1" applyFont="1" applyFill="1" applyBorder="1" applyAlignment="1" applyProtection="1">
      <alignment horizontal="right" vertical="center"/>
      <protection locked="0"/>
    </xf>
    <xf numFmtId="2" fontId="17" fillId="10" borderId="43" xfId="0" applyNumberFormat="1" applyFont="1" applyFill="1" applyBorder="1" applyAlignment="1" applyProtection="1">
      <alignment horizontal="right" vertical="center"/>
      <protection locked="0"/>
    </xf>
    <xf numFmtId="0" fontId="17" fillId="10" borderId="1" xfId="0" applyFont="1" applyFill="1" applyBorder="1" applyAlignment="1" applyProtection="1">
      <alignment horizontal="left" vertical="center"/>
      <protection locked="0"/>
    </xf>
    <xf numFmtId="0" fontId="17" fillId="10" borderId="1" xfId="0" applyFont="1" applyFill="1" applyBorder="1" applyAlignment="1" applyProtection="1">
      <alignment horizontal="right" vertical="center"/>
      <protection locked="0"/>
    </xf>
    <xf numFmtId="0" fontId="17" fillId="10" borderId="1" xfId="0" applyFont="1" applyFill="1" applyBorder="1" applyAlignment="1" applyProtection="1">
      <alignment horizontal="center" vertical="center"/>
      <protection locked="0"/>
    </xf>
    <xf numFmtId="2" fontId="17" fillId="10" borderId="40" xfId="0" applyNumberFormat="1" applyFont="1" applyFill="1" applyBorder="1" applyAlignment="1" applyProtection="1">
      <alignment horizontal="right" vertical="center"/>
      <protection locked="0"/>
    </xf>
    <xf numFmtId="0" fontId="17" fillId="10" borderId="4" xfId="0" applyFont="1" applyFill="1" applyBorder="1" applyAlignment="1" applyProtection="1">
      <alignment horizontal="center" vertical="center"/>
      <protection locked="0"/>
    </xf>
    <xf numFmtId="0" fontId="12" fillId="9" borderId="0" xfId="0" applyFont="1" applyFill="1" applyAlignment="1">
      <alignment horizontal="left"/>
    </xf>
    <xf numFmtId="0" fontId="27" fillId="9" borderId="0" xfId="0" applyFont="1" applyFill="1" applyAlignment="1">
      <alignment horizontal="left"/>
    </xf>
    <xf numFmtId="0" fontId="14" fillId="2" borderId="19" xfId="0" applyFont="1" applyFill="1" applyBorder="1" applyAlignment="1">
      <alignment horizontal="left" vertical="center"/>
    </xf>
    <xf numFmtId="0" fontId="14" fillId="2" borderId="20" xfId="0" applyFont="1" applyFill="1" applyBorder="1" applyAlignment="1">
      <alignment horizontal="left" vertical="center"/>
    </xf>
    <xf numFmtId="0" fontId="14" fillId="2" borderId="21" xfId="0" applyFont="1" applyFill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6" fillId="9" borderId="0" xfId="0" applyFont="1" applyFill="1" applyAlignment="1">
      <alignment vertical="center"/>
    </xf>
    <xf numFmtId="0" fontId="17" fillId="9" borderId="0" xfId="0" applyFont="1" applyFill="1" applyAlignment="1">
      <alignment vertical="center"/>
    </xf>
    <xf numFmtId="0" fontId="2" fillId="9" borderId="0" xfId="0" applyFont="1" applyFill="1" applyAlignment="1">
      <alignment horizontal="left" vertical="center" indent="1"/>
    </xf>
    <xf numFmtId="0" fontId="14" fillId="4" borderId="6" xfId="0" applyFont="1" applyFill="1" applyBorder="1" applyAlignment="1">
      <alignment vertical="center"/>
    </xf>
    <xf numFmtId="0" fontId="20" fillId="4" borderId="6" xfId="0" applyFont="1" applyFill="1" applyBorder="1" applyAlignment="1">
      <alignment vertical="center"/>
    </xf>
    <xf numFmtId="0" fontId="20" fillId="4" borderId="7" xfId="0" applyFont="1" applyFill="1" applyBorder="1" applyAlignment="1">
      <alignment vertical="center"/>
    </xf>
    <xf numFmtId="0" fontId="16" fillId="4" borderId="31" xfId="0" applyFont="1" applyFill="1" applyBorder="1" applyAlignment="1">
      <alignment vertical="center"/>
    </xf>
    <xf numFmtId="0" fontId="16" fillId="4" borderId="41" xfId="0" applyFont="1" applyFill="1" applyBorder="1" applyAlignment="1">
      <alignment vertical="center"/>
    </xf>
    <xf numFmtId="0" fontId="17" fillId="3" borderId="48" xfId="0" applyFont="1" applyFill="1" applyBorder="1" applyAlignment="1">
      <alignment horizontal="center" vertical="center"/>
    </xf>
    <xf numFmtId="0" fontId="17" fillId="3" borderId="29" xfId="0" applyFont="1" applyFill="1" applyBorder="1" applyAlignment="1">
      <alignment horizontal="center" vertical="center"/>
    </xf>
    <xf numFmtId="0" fontId="17" fillId="3" borderId="30" xfId="0" applyFont="1" applyFill="1" applyBorder="1" applyAlignment="1">
      <alignment horizontal="center" vertical="center"/>
    </xf>
    <xf numFmtId="0" fontId="16" fillId="4" borderId="8" xfId="0" applyFont="1" applyFill="1" applyBorder="1" applyAlignment="1">
      <alignment vertical="center"/>
    </xf>
    <xf numFmtId="0" fontId="16" fillId="4" borderId="3" xfId="0" applyFont="1" applyFill="1" applyBorder="1" applyAlignment="1">
      <alignment vertical="center"/>
    </xf>
    <xf numFmtId="0" fontId="0" fillId="3" borderId="40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16" fillId="4" borderId="41" xfId="0" applyFont="1" applyFill="1" applyBorder="1" applyAlignment="1">
      <alignment horizontal="center" vertical="center"/>
    </xf>
    <xf numFmtId="3" fontId="0" fillId="3" borderId="40" xfId="8" applyFont="1" applyFill="1" applyBorder="1">
      <alignment horizontal="center" vertical="center"/>
    </xf>
    <xf numFmtId="3" fontId="0" fillId="3" borderId="9" xfId="8" applyFont="1" applyFill="1" applyBorder="1">
      <alignment horizontal="center" vertical="center"/>
    </xf>
    <xf numFmtId="0" fontId="11" fillId="5" borderId="5" xfId="0" applyFont="1" applyFill="1" applyBorder="1" applyAlignment="1">
      <alignment vertical="center"/>
    </xf>
    <xf numFmtId="0" fontId="11" fillId="5" borderId="6" xfId="0" applyFont="1" applyFill="1" applyBorder="1" applyAlignment="1">
      <alignment vertical="center"/>
    </xf>
    <xf numFmtId="0" fontId="20" fillId="5" borderId="42" xfId="0" applyFont="1" applyFill="1" applyBorder="1" applyAlignment="1">
      <alignment vertical="center"/>
    </xf>
    <xf numFmtId="0" fontId="20" fillId="5" borderId="50" xfId="0" applyFont="1" applyFill="1" applyBorder="1" applyAlignment="1">
      <alignment vertical="center"/>
    </xf>
    <xf numFmtId="0" fontId="2" fillId="5" borderId="28" xfId="0" applyFont="1" applyFill="1" applyBorder="1" applyAlignment="1">
      <alignment vertical="center"/>
    </xf>
    <xf numFmtId="0" fontId="2" fillId="5" borderId="29" xfId="0" applyFont="1" applyFill="1" applyBorder="1" applyAlignment="1">
      <alignment horizontal="center" vertical="center"/>
    </xf>
    <xf numFmtId="4" fontId="17" fillId="5" borderId="1" xfId="8" applyNumberFormat="1" applyFont="1" applyFill="1" applyBorder="1">
      <alignment horizontal="center" vertical="center"/>
    </xf>
    <xf numFmtId="4" fontId="17" fillId="5" borderId="9" xfId="8" applyNumberFormat="1" applyFont="1" applyFill="1" applyBorder="1">
      <alignment horizontal="center" vertical="center"/>
    </xf>
    <xf numFmtId="0" fontId="2" fillId="5" borderId="10" xfId="0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4" fontId="17" fillId="5" borderId="40" xfId="8" applyNumberFormat="1" applyFont="1" applyFill="1" applyBorder="1">
      <alignment horizontal="center" vertical="center"/>
    </xf>
    <xf numFmtId="0" fontId="26" fillId="9" borderId="0" xfId="0" applyFont="1" applyFill="1" applyAlignment="1">
      <alignment horizontal="left" vertical="center" indent="1"/>
    </xf>
    <xf numFmtId="4" fontId="2" fillId="10" borderId="47" xfId="8" applyNumberFormat="1" applyFont="1" applyFill="1" applyBorder="1" applyProtection="1">
      <alignment horizontal="center" vertical="center"/>
      <protection locked="0"/>
    </xf>
    <xf numFmtId="4" fontId="2" fillId="9" borderId="0" xfId="0" applyNumberFormat="1" applyFont="1" applyFill="1"/>
    <xf numFmtId="0" fontId="16" fillId="4" borderId="25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left" vertical="center"/>
    </xf>
    <xf numFmtId="0" fontId="2" fillId="0" borderId="26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0" fontId="11" fillId="13" borderId="5" xfId="0" applyFont="1" applyFill="1" applyBorder="1" applyAlignment="1">
      <alignment vertical="center"/>
    </xf>
    <xf numFmtId="0" fontId="11" fillId="13" borderId="6" xfId="0" applyFont="1" applyFill="1" applyBorder="1" applyAlignment="1">
      <alignment vertical="center"/>
    </xf>
    <xf numFmtId="0" fontId="11" fillId="13" borderId="7" xfId="0" applyFont="1" applyFill="1" applyBorder="1" applyAlignment="1">
      <alignment vertical="center"/>
    </xf>
    <xf numFmtId="4" fontId="0" fillId="0" borderId="0" xfId="0" applyNumberFormat="1"/>
    <xf numFmtId="0" fontId="2" fillId="13" borderId="10" xfId="0" applyFont="1" applyFill="1" applyBorder="1" applyAlignment="1">
      <alignment vertical="center"/>
    </xf>
    <xf numFmtId="0" fontId="2" fillId="13" borderId="1" xfId="0" applyFont="1" applyFill="1" applyBorder="1" applyAlignment="1">
      <alignment horizontal="center" vertical="center"/>
    </xf>
    <xf numFmtId="4" fontId="2" fillId="0" borderId="9" xfId="8" applyNumberFormat="1" applyFont="1" applyFill="1" applyBorder="1">
      <alignment horizontal="center" vertical="center"/>
    </xf>
    <xf numFmtId="0" fontId="2" fillId="13" borderId="34" xfId="0" applyFont="1" applyFill="1" applyBorder="1" applyAlignment="1">
      <alignment vertical="center"/>
    </xf>
    <xf numFmtId="0" fontId="2" fillId="13" borderId="13" xfId="0" applyFont="1" applyFill="1" applyBorder="1" applyAlignment="1">
      <alignment horizontal="center" vertical="center"/>
    </xf>
    <xf numFmtId="0" fontId="11" fillId="14" borderId="5" xfId="0" applyFont="1" applyFill="1" applyBorder="1" applyAlignment="1">
      <alignment vertical="center"/>
    </xf>
    <xf numFmtId="0" fontId="11" fillId="14" borderId="6" xfId="0" applyFont="1" applyFill="1" applyBorder="1" applyAlignment="1">
      <alignment vertical="center"/>
    </xf>
    <xf numFmtId="0" fontId="11" fillId="14" borderId="7" xfId="0" applyFont="1" applyFill="1" applyBorder="1" applyAlignment="1">
      <alignment vertical="center"/>
    </xf>
    <xf numFmtId="0" fontId="2" fillId="14" borderId="10" xfId="0" applyFont="1" applyFill="1" applyBorder="1" applyAlignment="1">
      <alignment vertical="center"/>
    </xf>
    <xf numFmtId="0" fontId="2" fillId="14" borderId="1" xfId="0" applyFont="1" applyFill="1" applyBorder="1" applyAlignment="1">
      <alignment horizontal="center" vertical="center"/>
    </xf>
    <xf numFmtId="170" fontId="2" fillId="9" borderId="0" xfId="0" applyNumberFormat="1" applyFont="1" applyFill="1"/>
    <xf numFmtId="0" fontId="2" fillId="14" borderId="27" xfId="0" applyFont="1" applyFill="1" applyBorder="1" applyAlignment="1">
      <alignment vertical="center"/>
    </xf>
    <xf numFmtId="0" fontId="2" fillId="14" borderId="24" xfId="0" applyFont="1" applyFill="1" applyBorder="1" applyAlignment="1">
      <alignment horizontal="center" vertical="center"/>
    </xf>
    <xf numFmtId="4" fontId="2" fillId="0" borderId="26" xfId="8" applyNumberFormat="1" applyFont="1" applyFill="1" applyBorder="1">
      <alignment horizontal="center" vertical="center"/>
    </xf>
    <xf numFmtId="0" fontId="11" fillId="15" borderId="5" xfId="0" applyFont="1" applyFill="1" applyBorder="1" applyAlignment="1">
      <alignment vertical="center"/>
    </xf>
    <xf numFmtId="0" fontId="11" fillId="15" borderId="6" xfId="0" applyFont="1" applyFill="1" applyBorder="1" applyAlignment="1">
      <alignment vertical="center"/>
    </xf>
    <xf numFmtId="0" fontId="11" fillId="15" borderId="7" xfId="0" applyFont="1" applyFill="1" applyBorder="1" applyAlignment="1">
      <alignment vertical="center"/>
    </xf>
    <xf numFmtId="0" fontId="2" fillId="15" borderId="27" xfId="0" applyFont="1" applyFill="1" applyBorder="1" applyAlignment="1">
      <alignment vertical="center"/>
    </xf>
    <xf numFmtId="0" fontId="2" fillId="15" borderId="24" xfId="0" applyFont="1" applyFill="1" applyBorder="1" applyAlignment="1">
      <alignment horizontal="center" vertical="center"/>
    </xf>
    <xf numFmtId="0" fontId="2" fillId="15" borderId="10" xfId="0" applyFont="1" applyFill="1" applyBorder="1" applyAlignment="1">
      <alignment vertical="center"/>
    </xf>
    <xf numFmtId="0" fontId="2" fillId="15" borderId="1" xfId="0" applyFont="1" applyFill="1" applyBorder="1" applyAlignment="1">
      <alignment horizontal="center" vertical="center"/>
    </xf>
    <xf numFmtId="0" fontId="2" fillId="15" borderId="34" xfId="0" applyFont="1" applyFill="1" applyBorder="1" applyAlignment="1">
      <alignment vertical="center"/>
    </xf>
    <xf numFmtId="0" fontId="2" fillId="15" borderId="39" xfId="0" applyFont="1" applyFill="1" applyBorder="1" applyAlignment="1">
      <alignment horizontal="center" vertical="center"/>
    </xf>
    <xf numFmtId="4" fontId="2" fillId="0" borderId="37" xfId="8" applyNumberFormat="1" applyFont="1" applyFill="1" applyBorder="1">
      <alignment horizontal="center" vertical="center"/>
    </xf>
    <xf numFmtId="0" fontId="11" fillId="16" borderId="5" xfId="0" applyFont="1" applyFill="1" applyBorder="1" applyAlignment="1">
      <alignment vertical="center"/>
    </xf>
    <xf numFmtId="0" fontId="2" fillId="16" borderId="6" xfId="0" applyFont="1" applyFill="1" applyBorder="1" applyAlignment="1">
      <alignment horizontal="center" vertical="center"/>
    </xf>
    <xf numFmtId="4" fontId="2" fillId="16" borderId="7" xfId="8" applyNumberFormat="1" applyFont="1" applyFill="1" applyBorder="1">
      <alignment horizontal="center" vertical="center"/>
    </xf>
    <xf numFmtId="0" fontId="2" fillId="16" borderId="53" xfId="0" applyFont="1" applyFill="1" applyBorder="1" applyAlignment="1">
      <alignment vertical="center"/>
    </xf>
    <xf numFmtId="0" fontId="2" fillId="16" borderId="24" xfId="0" applyFont="1" applyFill="1" applyBorder="1" applyAlignment="1">
      <alignment horizontal="center" vertical="center"/>
    </xf>
    <xf numFmtId="0" fontId="2" fillId="16" borderId="12" xfId="0" applyFont="1" applyFill="1" applyBorder="1" applyAlignment="1">
      <alignment vertical="center"/>
    </xf>
    <xf numFmtId="0" fontId="2" fillId="16" borderId="13" xfId="0" applyFont="1" applyFill="1" applyBorder="1" applyAlignment="1">
      <alignment horizontal="center" vertical="center"/>
    </xf>
    <xf numFmtId="4" fontId="2" fillId="0" borderId="14" xfId="8" applyNumberFormat="1" applyFont="1" applyFill="1" applyBorder="1">
      <alignment horizontal="center" vertical="center"/>
    </xf>
    <xf numFmtId="0" fontId="11" fillId="17" borderId="31" xfId="0" applyFont="1" applyFill="1" applyBorder="1" applyAlignment="1">
      <alignment vertical="center"/>
    </xf>
    <xf numFmtId="0" fontId="11" fillId="17" borderId="32" xfId="0" applyFont="1" applyFill="1" applyBorder="1" applyAlignment="1">
      <alignment vertical="center"/>
    </xf>
    <xf numFmtId="0" fontId="11" fillId="17" borderId="33" xfId="0" applyFont="1" applyFill="1" applyBorder="1" applyAlignment="1">
      <alignment vertical="center"/>
    </xf>
    <xf numFmtId="0" fontId="2" fillId="17" borderId="12" xfId="0" applyFont="1" applyFill="1" applyBorder="1" applyAlignment="1">
      <alignment vertical="center"/>
    </xf>
    <xf numFmtId="0" fontId="2" fillId="17" borderId="13" xfId="0" applyFont="1" applyFill="1" applyBorder="1" applyAlignment="1">
      <alignment horizontal="center" vertical="center"/>
    </xf>
    <xf numFmtId="0" fontId="11" fillId="18" borderId="31" xfId="0" applyFont="1" applyFill="1" applyBorder="1" applyAlignment="1">
      <alignment vertical="center"/>
    </xf>
    <xf numFmtId="0" fontId="11" fillId="18" borderId="32" xfId="0" applyFont="1" applyFill="1" applyBorder="1" applyAlignment="1">
      <alignment vertical="center"/>
    </xf>
    <xf numFmtId="0" fontId="11" fillId="18" borderId="33" xfId="0" applyFont="1" applyFill="1" applyBorder="1" applyAlignment="1">
      <alignment vertical="center"/>
    </xf>
    <xf numFmtId="0" fontId="2" fillId="18" borderId="10" xfId="0" applyFont="1" applyFill="1" applyBorder="1" applyAlignment="1">
      <alignment vertical="center"/>
    </xf>
    <xf numFmtId="0" fontId="2" fillId="18" borderId="1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vertical="center"/>
    </xf>
    <xf numFmtId="0" fontId="2" fillId="18" borderId="13" xfId="0" applyFont="1" applyFill="1" applyBorder="1" applyAlignment="1">
      <alignment horizontal="center" vertical="center"/>
    </xf>
    <xf numFmtId="0" fontId="11" fillId="19" borderId="31" xfId="0" applyFont="1" applyFill="1" applyBorder="1" applyAlignment="1">
      <alignment vertical="center"/>
    </xf>
    <xf numFmtId="0" fontId="11" fillId="19" borderId="32" xfId="0" applyFont="1" applyFill="1" applyBorder="1" applyAlignment="1">
      <alignment vertical="center"/>
    </xf>
    <xf numFmtId="0" fontId="11" fillId="19" borderId="33" xfId="0" applyFont="1" applyFill="1" applyBorder="1" applyAlignment="1">
      <alignment vertical="center"/>
    </xf>
    <xf numFmtId="0" fontId="2" fillId="19" borderId="10" xfId="0" applyFont="1" applyFill="1" applyBorder="1" applyAlignment="1">
      <alignment vertical="center"/>
    </xf>
    <xf numFmtId="0" fontId="2" fillId="19" borderId="1" xfId="0" applyFont="1" applyFill="1" applyBorder="1" applyAlignment="1">
      <alignment horizontal="center" vertical="center"/>
    </xf>
    <xf numFmtId="10" fontId="2" fillId="0" borderId="9" xfId="1" applyNumberFormat="1" applyFont="1" applyFill="1" applyBorder="1" applyAlignment="1" applyProtection="1">
      <alignment horizontal="center" vertical="center"/>
    </xf>
    <xf numFmtId="3" fontId="2" fillId="0" borderId="9" xfId="8" applyFont="1" applyFill="1" applyBorder="1">
      <alignment horizontal="center" vertical="center"/>
    </xf>
    <xf numFmtId="0" fontId="2" fillId="19" borderId="12" xfId="0" applyFont="1" applyFill="1" applyBorder="1" applyAlignment="1">
      <alignment vertical="center"/>
    </xf>
    <xf numFmtId="0" fontId="2" fillId="19" borderId="13" xfId="0" applyFont="1" applyFill="1" applyBorder="1" applyAlignment="1">
      <alignment horizontal="center" vertical="center"/>
    </xf>
    <xf numFmtId="0" fontId="11" fillId="9" borderId="0" xfId="0" applyFont="1" applyFill="1"/>
    <xf numFmtId="0" fontId="11" fillId="6" borderId="51" xfId="0" applyFont="1" applyFill="1" applyBorder="1" applyAlignment="1">
      <alignment horizontal="left" vertical="center"/>
    </xf>
    <xf numFmtId="0" fontId="11" fillId="6" borderId="42" xfId="0" applyFont="1" applyFill="1" applyBorder="1" applyAlignment="1">
      <alignment horizontal="left" vertical="center"/>
    </xf>
    <xf numFmtId="0" fontId="11" fillId="6" borderId="20" xfId="0" applyFont="1" applyFill="1" applyBorder="1" applyAlignment="1">
      <alignment horizontal="right" vertical="center"/>
    </xf>
    <xf numFmtId="0" fontId="11" fillId="6" borderId="21" xfId="0" applyFont="1" applyFill="1" applyBorder="1" applyAlignment="1">
      <alignment horizontal="right" vertical="center"/>
    </xf>
    <xf numFmtId="164" fontId="8" fillId="9" borderId="0" xfId="0" applyNumberFormat="1" applyFont="1" applyFill="1"/>
    <xf numFmtId="164" fontId="11" fillId="9" borderId="0" xfId="0" applyNumberFormat="1" applyFont="1" applyFill="1"/>
    <xf numFmtId="0" fontId="11" fillId="7" borderId="8" xfId="0" applyFont="1" applyFill="1" applyBorder="1" applyAlignment="1">
      <alignment vertical="center"/>
    </xf>
    <xf numFmtId="0" fontId="11" fillId="7" borderId="4" xfId="0" applyFont="1" applyFill="1" applyBorder="1" applyAlignment="1">
      <alignment vertical="center"/>
    </xf>
    <xf numFmtId="0" fontId="11" fillId="7" borderId="40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left" vertical="center"/>
    </xf>
    <xf numFmtId="0" fontId="11" fillId="7" borderId="4" xfId="0" applyFont="1" applyFill="1" applyBorder="1" applyAlignment="1">
      <alignment horizontal="left" vertical="center"/>
    </xf>
    <xf numFmtId="0" fontId="11" fillId="7" borderId="34" xfId="0" applyFont="1" applyFill="1" applyBorder="1" applyAlignment="1">
      <alignment horizontal="left" vertical="center"/>
    </xf>
    <xf numFmtId="0" fontId="11" fillId="7" borderId="46" xfId="0" applyFont="1" applyFill="1" applyBorder="1" applyAlignment="1">
      <alignment horizontal="left" vertical="center"/>
    </xf>
    <xf numFmtId="0" fontId="11" fillId="7" borderId="39" xfId="0" applyFont="1" applyFill="1" applyBorder="1" applyAlignment="1">
      <alignment horizontal="center" vertical="center"/>
    </xf>
    <xf numFmtId="0" fontId="25" fillId="12" borderId="15" xfId="0" applyFont="1" applyFill="1" applyBorder="1" applyAlignment="1">
      <alignment vertical="top" wrapText="1"/>
    </xf>
    <xf numFmtId="0" fontId="17" fillId="0" borderId="28" xfId="3" applyBorder="1" applyAlignment="1">
      <alignment horizontal="center" vertical="center"/>
    </xf>
    <xf numFmtId="4" fontId="17" fillId="0" borderId="29" xfId="3" applyNumberFormat="1" applyBorder="1" applyAlignment="1">
      <alignment horizontal="right" vertical="center"/>
    </xf>
    <xf numFmtId="0" fontId="17" fillId="0" borderId="10" xfId="3" applyBorder="1" applyAlignment="1">
      <alignment horizontal="center" vertical="center"/>
    </xf>
    <xf numFmtId="4" fontId="17" fillId="0" borderId="1" xfId="3" applyNumberFormat="1" applyBorder="1" applyAlignment="1">
      <alignment horizontal="right" vertical="center"/>
    </xf>
    <xf numFmtId="9" fontId="8" fillId="9" borderId="0" xfId="0" applyNumberFormat="1" applyFont="1" applyFill="1"/>
    <xf numFmtId="9" fontId="25" fillId="9" borderId="0" xfId="0" applyNumberFormat="1" applyFont="1" applyFill="1"/>
    <xf numFmtId="44" fontId="0" fillId="0" borderId="0" xfId="0" applyNumberFormat="1"/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171" fontId="0" fillId="0" borderId="0" xfId="0" applyNumberFormat="1"/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2" fillId="0" borderId="0" xfId="0" applyNumberFormat="1" applyFont="1"/>
    <xf numFmtId="4" fontId="17" fillId="10" borderId="29" xfId="0" applyNumberFormat="1" applyFont="1" applyFill="1" applyBorder="1" applyAlignment="1" applyProtection="1">
      <alignment horizontal="center" vertical="center"/>
      <protection locked="0"/>
    </xf>
    <xf numFmtId="0" fontId="11" fillId="4" borderId="7" xfId="0" applyFont="1" applyFill="1" applyBorder="1" applyAlignment="1">
      <alignment vertical="center"/>
    </xf>
    <xf numFmtId="0" fontId="11" fillId="0" borderId="33" xfId="0" applyFont="1" applyBorder="1" applyAlignment="1">
      <alignment horizontal="center" vertical="center"/>
    </xf>
    <xf numFmtId="0" fontId="16" fillId="4" borderId="53" xfId="0" applyFont="1" applyFill="1" applyBorder="1" applyAlignment="1">
      <alignment horizontal="left" vertical="center"/>
    </xf>
    <xf numFmtId="0" fontId="16" fillId="4" borderId="0" xfId="0" applyFont="1" applyFill="1" applyAlignment="1">
      <alignment horizontal="left" vertical="center"/>
    </xf>
    <xf numFmtId="0" fontId="2" fillId="0" borderId="24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4" fontId="2" fillId="0" borderId="29" xfId="8" applyNumberFormat="1" applyFont="1" applyFill="1" applyBorder="1">
      <alignment horizontal="center" vertical="center"/>
    </xf>
    <xf numFmtId="4" fontId="11" fillId="0" borderId="33" xfId="8" applyNumberFormat="1" applyFont="1" applyFill="1" applyBorder="1">
      <alignment horizontal="center" vertical="center"/>
    </xf>
    <xf numFmtId="4" fontId="2" fillId="0" borderId="1" xfId="8" applyNumberFormat="1" applyFont="1" applyFill="1" applyBorder="1">
      <alignment horizontal="center" vertical="center"/>
    </xf>
    <xf numFmtId="4" fontId="11" fillId="0" borderId="11" xfId="8" applyNumberFormat="1" applyFont="1" applyFill="1" applyBorder="1">
      <alignment horizontal="center" vertical="center"/>
    </xf>
    <xf numFmtId="0" fontId="2" fillId="13" borderId="12" xfId="0" applyFont="1" applyFill="1" applyBorder="1" applyAlignment="1">
      <alignment vertical="center"/>
    </xf>
    <xf numFmtId="0" fontId="2" fillId="13" borderId="49" xfId="0" applyFont="1" applyFill="1" applyBorder="1" applyAlignment="1">
      <alignment horizontal="center" vertical="center"/>
    </xf>
    <xf numFmtId="4" fontId="11" fillId="0" borderId="52" xfId="8" applyNumberFormat="1" applyFont="1" applyFill="1" applyBorder="1">
      <alignment horizontal="center" vertical="center"/>
    </xf>
    <xf numFmtId="0" fontId="11" fillId="14" borderId="31" xfId="0" applyFont="1" applyFill="1" applyBorder="1" applyAlignment="1">
      <alignment vertical="center"/>
    </xf>
    <xf numFmtId="0" fontId="11" fillId="14" borderId="32" xfId="0" applyFont="1" applyFill="1" applyBorder="1" applyAlignment="1">
      <alignment vertical="center"/>
    </xf>
    <xf numFmtId="0" fontId="11" fillId="14" borderId="33" xfId="0" applyFont="1" applyFill="1" applyBorder="1" applyAlignment="1">
      <alignment vertical="center"/>
    </xf>
    <xf numFmtId="2" fontId="2" fillId="0" borderId="1" xfId="0" applyNumberFormat="1" applyFont="1" applyBorder="1" applyAlignment="1">
      <alignment horizontal="center" vertical="center"/>
    </xf>
    <xf numFmtId="10" fontId="11" fillId="0" borderId="33" xfId="1" applyNumberFormat="1" applyFont="1" applyFill="1" applyBorder="1" applyAlignment="1" applyProtection="1">
      <alignment horizontal="center" vertical="center"/>
    </xf>
    <xf numFmtId="4" fontId="2" fillId="0" borderId="24" xfId="8" applyNumberFormat="1" applyFont="1" applyFill="1" applyBorder="1">
      <alignment horizontal="center" vertical="center"/>
    </xf>
    <xf numFmtId="4" fontId="11" fillId="0" borderId="45" xfId="8" applyNumberFormat="1" applyFont="1" applyFill="1" applyBorder="1">
      <alignment horizontal="center" vertical="center"/>
    </xf>
    <xf numFmtId="0" fontId="11" fillId="16" borderId="6" xfId="0" applyFont="1" applyFill="1" applyBorder="1" applyAlignment="1">
      <alignment vertical="center"/>
    </xf>
    <xf numFmtId="0" fontId="11" fillId="16" borderId="7" xfId="0" applyFont="1" applyFill="1" applyBorder="1" applyAlignment="1">
      <alignment vertical="center"/>
    </xf>
    <xf numFmtId="4" fontId="2" fillId="0" borderId="36" xfId="8" applyNumberFormat="1" applyFont="1" applyFill="1" applyBorder="1">
      <alignment horizontal="center" vertical="center"/>
    </xf>
    <xf numFmtId="4" fontId="11" fillId="0" borderId="47" xfId="8" applyNumberFormat="1" applyFont="1" applyFill="1" applyBorder="1">
      <alignment horizontal="center" vertical="center"/>
    </xf>
    <xf numFmtId="0" fontId="11" fillId="17" borderId="5" xfId="0" applyFont="1" applyFill="1" applyBorder="1" applyAlignment="1">
      <alignment vertical="center"/>
    </xf>
    <xf numFmtId="0" fontId="11" fillId="17" borderId="6" xfId="0" applyFont="1" applyFill="1" applyBorder="1" applyAlignment="1">
      <alignment vertical="center"/>
    </xf>
    <xf numFmtId="0" fontId="11" fillId="17" borderId="7" xfId="0" applyFont="1" applyFill="1" applyBorder="1" applyAlignment="1">
      <alignment vertical="center"/>
    </xf>
    <xf numFmtId="0" fontId="2" fillId="17" borderId="34" xfId="0" applyFont="1" applyFill="1" applyBorder="1" applyAlignment="1">
      <alignment vertical="center"/>
    </xf>
    <xf numFmtId="0" fontId="2" fillId="18" borderId="48" xfId="0" applyFont="1" applyFill="1" applyBorder="1" applyAlignment="1">
      <alignment horizontal="center" vertical="center"/>
    </xf>
    <xf numFmtId="0" fontId="2" fillId="18" borderId="49" xfId="0" applyFont="1" applyFill="1" applyBorder="1" applyAlignment="1">
      <alignment horizontal="center" vertical="center"/>
    </xf>
    <xf numFmtId="4" fontId="2" fillId="0" borderId="13" xfId="8" applyNumberFormat="1" applyFont="1" applyFill="1" applyBorder="1">
      <alignment horizontal="center" vertical="center"/>
    </xf>
    <xf numFmtId="0" fontId="11" fillId="19" borderId="5" xfId="0" applyFont="1" applyFill="1" applyBorder="1" applyAlignment="1">
      <alignment vertical="center"/>
    </xf>
    <xf numFmtId="0" fontId="11" fillId="19" borderId="6" xfId="0" applyFont="1" applyFill="1" applyBorder="1" applyAlignment="1">
      <alignment vertical="center"/>
    </xf>
    <xf numFmtId="0" fontId="11" fillId="19" borderId="7" xfId="0" applyFont="1" applyFill="1" applyBorder="1" applyAlignment="1">
      <alignment vertical="center"/>
    </xf>
    <xf numFmtId="10" fontId="2" fillId="0" borderId="1" xfId="1" applyNumberFormat="1" applyFont="1" applyFill="1" applyBorder="1" applyAlignment="1" applyProtection="1">
      <alignment horizontal="center" vertical="center"/>
    </xf>
    <xf numFmtId="10" fontId="11" fillId="0" borderId="9" xfId="1" applyNumberFormat="1" applyFont="1" applyFill="1" applyBorder="1" applyAlignment="1" applyProtection="1">
      <alignment horizontal="center" vertical="center"/>
    </xf>
    <xf numFmtId="4" fontId="11" fillId="0" borderId="9" xfId="8" applyNumberFormat="1" applyFont="1" applyFill="1" applyBorder="1">
      <alignment horizontal="center" vertical="center"/>
    </xf>
    <xf numFmtId="3" fontId="2" fillId="0" borderId="1" xfId="8" applyFont="1" applyFill="1" applyBorder="1">
      <alignment horizontal="center" vertical="center"/>
    </xf>
    <xf numFmtId="3" fontId="11" fillId="0" borderId="9" xfId="8" applyFont="1" applyFill="1" applyBorder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36" xfId="0" applyFont="1" applyFill="1" applyBorder="1" applyAlignment="1">
      <alignment horizontal="center" vertical="center"/>
    </xf>
    <xf numFmtId="0" fontId="2" fillId="0" borderId="0" xfId="0" applyFont="1"/>
    <xf numFmtId="0" fontId="24" fillId="9" borderId="0" xfId="0" applyFont="1" applyFill="1"/>
    <xf numFmtId="0" fontId="14" fillId="4" borderId="7" xfId="0" applyFont="1" applyFill="1" applyBorder="1" applyAlignment="1">
      <alignment vertical="center"/>
    </xf>
    <xf numFmtId="0" fontId="16" fillId="4" borderId="10" xfId="0" applyFont="1" applyFill="1" applyBorder="1" applyAlignment="1">
      <alignment vertical="center"/>
    </xf>
    <xf numFmtId="0" fontId="14" fillId="4" borderId="29" xfId="0" applyFont="1" applyFill="1" applyBorder="1" applyAlignment="1">
      <alignment vertical="center"/>
    </xf>
    <xf numFmtId="0" fontId="2" fillId="0" borderId="29" xfId="0" applyFont="1" applyBorder="1" applyAlignment="1">
      <alignment horizontal="center" vertical="center"/>
    </xf>
    <xf numFmtId="0" fontId="14" fillId="4" borderId="1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1" fillId="13" borderId="53" xfId="0" applyFont="1" applyFill="1" applyBorder="1" applyAlignment="1">
      <alignment vertical="center"/>
    </xf>
    <xf numFmtId="0" fontId="2" fillId="13" borderId="0" xfId="0" applyFont="1" applyFill="1" applyAlignment="1">
      <alignment horizontal="center" vertical="center"/>
    </xf>
    <xf numFmtId="4" fontId="11" fillId="13" borderId="45" xfId="0" applyNumberFormat="1" applyFont="1" applyFill="1" applyBorder="1" applyAlignment="1">
      <alignment horizontal="right" vertical="center"/>
    </xf>
    <xf numFmtId="4" fontId="2" fillId="0" borderId="1" xfId="0" applyNumberFormat="1" applyFont="1" applyBorder="1" applyAlignment="1">
      <alignment horizontal="right" vertical="center"/>
    </xf>
    <xf numFmtId="4" fontId="11" fillId="0" borderId="9" xfId="0" applyNumberFormat="1" applyFont="1" applyBorder="1" applyAlignment="1">
      <alignment horizontal="right" vertical="center"/>
    </xf>
    <xf numFmtId="4" fontId="11" fillId="0" borderId="9" xfId="8" applyNumberFormat="1" applyFont="1" applyFill="1" applyBorder="1" applyAlignment="1">
      <alignment horizontal="right" vertical="center"/>
    </xf>
    <xf numFmtId="0" fontId="11" fillId="14" borderId="53" xfId="0" applyFont="1" applyFill="1" applyBorder="1" applyAlignment="1">
      <alignment vertical="center"/>
    </xf>
    <xf numFmtId="0" fontId="2" fillId="14" borderId="0" xfId="0" applyFont="1" applyFill="1" applyAlignment="1">
      <alignment horizontal="center" vertical="center"/>
    </xf>
    <xf numFmtId="4" fontId="11" fillId="14" borderId="45" xfId="0" applyNumberFormat="1" applyFont="1" applyFill="1" applyBorder="1" applyAlignment="1">
      <alignment horizontal="right" vertical="center"/>
    </xf>
    <xf numFmtId="10" fontId="2" fillId="0" borderId="1" xfId="1" applyNumberFormat="1" applyFont="1" applyFill="1" applyBorder="1" applyAlignment="1" applyProtection="1">
      <alignment horizontal="right" vertical="center"/>
    </xf>
    <xf numFmtId="10" fontId="11" fillId="0" borderId="9" xfId="1" applyNumberFormat="1" applyFont="1" applyFill="1" applyBorder="1" applyAlignment="1" applyProtection="1">
      <alignment horizontal="right" vertical="center"/>
    </xf>
    <xf numFmtId="0" fontId="11" fillId="15" borderId="53" xfId="0" applyFont="1" applyFill="1" applyBorder="1" applyAlignment="1">
      <alignment vertical="center"/>
    </xf>
    <xf numFmtId="0" fontId="2" fillId="15" borderId="0" xfId="0" applyFont="1" applyFill="1" applyAlignment="1">
      <alignment horizontal="center" vertical="center"/>
    </xf>
    <xf numFmtId="4" fontId="11" fillId="15" borderId="45" xfId="0" applyNumberFormat="1" applyFont="1" applyFill="1" applyBorder="1" applyAlignment="1">
      <alignment horizontal="right" vertical="center"/>
    </xf>
    <xf numFmtId="0" fontId="11" fillId="16" borderId="53" xfId="0" applyFont="1" applyFill="1" applyBorder="1" applyAlignment="1">
      <alignment vertical="center"/>
    </xf>
    <xf numFmtId="0" fontId="2" fillId="16" borderId="0" xfId="0" applyFont="1" applyFill="1" applyAlignment="1">
      <alignment horizontal="center" vertical="center"/>
    </xf>
    <xf numFmtId="4" fontId="11" fillId="16" borderId="45" xfId="0" applyNumberFormat="1" applyFont="1" applyFill="1" applyBorder="1" applyAlignment="1">
      <alignment horizontal="right" vertical="center"/>
    </xf>
    <xf numFmtId="0" fontId="2" fillId="16" borderId="10" xfId="0" applyFont="1" applyFill="1" applyBorder="1" applyAlignment="1">
      <alignment vertical="center" wrapText="1"/>
    </xf>
    <xf numFmtId="0" fontId="2" fillId="16" borderId="1" xfId="0" applyFont="1" applyFill="1" applyBorder="1" applyAlignment="1">
      <alignment horizontal="center" vertical="center" wrapText="1"/>
    </xf>
    <xf numFmtId="4" fontId="2" fillId="0" borderId="1" xfId="4" applyNumberFormat="1" applyFont="1" applyFill="1" applyBorder="1" applyAlignment="1" applyProtection="1">
      <alignment horizontal="right" vertical="center"/>
    </xf>
    <xf numFmtId="4" fontId="11" fillId="0" borderId="9" xfId="4" applyNumberFormat="1" applyFont="1" applyFill="1" applyBorder="1" applyAlignment="1" applyProtection="1">
      <alignment horizontal="right" vertical="center"/>
    </xf>
    <xf numFmtId="0" fontId="11" fillId="17" borderId="53" xfId="0" applyFont="1" applyFill="1" applyBorder="1" applyAlignment="1">
      <alignment vertical="center"/>
    </xf>
    <xf numFmtId="0" fontId="2" fillId="17" borderId="0" xfId="0" applyFont="1" applyFill="1" applyAlignment="1">
      <alignment horizontal="center" vertical="center"/>
    </xf>
    <xf numFmtId="4" fontId="11" fillId="17" borderId="45" xfId="0" applyNumberFormat="1" applyFont="1" applyFill="1" applyBorder="1" applyAlignment="1">
      <alignment horizontal="right" vertical="center"/>
    </xf>
    <xf numFmtId="0" fontId="2" fillId="17" borderId="10" xfId="0" applyFont="1" applyFill="1" applyBorder="1" applyAlignment="1">
      <alignment vertical="center" wrapText="1"/>
    </xf>
    <xf numFmtId="0" fontId="2" fillId="17" borderId="1" xfId="0" applyFont="1" applyFill="1" applyBorder="1" applyAlignment="1">
      <alignment horizontal="center" vertical="center" wrapText="1"/>
    </xf>
    <xf numFmtId="0" fontId="11" fillId="18" borderId="53" xfId="0" applyFont="1" applyFill="1" applyBorder="1" applyAlignment="1">
      <alignment vertical="center"/>
    </xf>
    <xf numFmtId="0" fontId="2" fillId="18" borderId="0" xfId="0" applyFont="1" applyFill="1" applyAlignment="1">
      <alignment horizontal="center" vertical="center"/>
    </xf>
    <xf numFmtId="4" fontId="11" fillId="18" borderId="45" xfId="0" applyNumberFormat="1" applyFont="1" applyFill="1" applyBorder="1" applyAlignment="1">
      <alignment horizontal="right" vertical="center"/>
    </xf>
    <xf numFmtId="0" fontId="2" fillId="18" borderId="10" xfId="0" applyFont="1" applyFill="1" applyBorder="1" applyAlignment="1">
      <alignment vertical="center" wrapText="1"/>
    </xf>
    <xf numFmtId="0" fontId="2" fillId="18" borderId="1" xfId="0" applyFont="1" applyFill="1" applyBorder="1" applyAlignment="1">
      <alignment horizontal="center" vertical="center" wrapText="1"/>
    </xf>
    <xf numFmtId="0" fontId="11" fillId="19" borderId="53" xfId="0" applyFont="1" applyFill="1" applyBorder="1" applyAlignment="1">
      <alignment vertical="center"/>
    </xf>
    <xf numFmtId="0" fontId="2" fillId="19" borderId="0" xfId="0" applyFont="1" applyFill="1" applyAlignment="1">
      <alignment horizontal="center" vertical="center"/>
    </xf>
    <xf numFmtId="4" fontId="11" fillId="19" borderId="45" xfId="0" applyNumberFormat="1" applyFont="1" applyFill="1" applyBorder="1" applyAlignment="1">
      <alignment horizontal="right" vertical="center"/>
    </xf>
    <xf numFmtId="0" fontId="2" fillId="19" borderId="8" xfId="0" applyFont="1" applyFill="1" applyBorder="1" applyAlignment="1">
      <alignment vertical="center" wrapText="1"/>
    </xf>
    <xf numFmtId="0" fontId="2" fillId="19" borderId="1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 vertical="center"/>
    </xf>
    <xf numFmtId="3" fontId="11" fillId="0" borderId="9" xfId="0" applyNumberFormat="1" applyFont="1" applyBorder="1" applyAlignment="1">
      <alignment horizontal="right" vertical="center"/>
    </xf>
    <xf numFmtId="4" fontId="2" fillId="0" borderId="1" xfId="4" applyNumberFormat="1" applyFont="1" applyFill="1" applyBorder="1" applyProtection="1">
      <alignment vertical="center"/>
    </xf>
    <xf numFmtId="164" fontId="9" fillId="9" borderId="0" xfId="0" applyNumberFormat="1" applyFont="1" applyFill="1"/>
    <xf numFmtId="4" fontId="8" fillId="9" borderId="0" xfId="0" applyNumberFormat="1" applyFont="1" applyFill="1"/>
    <xf numFmtId="9" fontId="2" fillId="9" borderId="0" xfId="0" applyNumberFormat="1" applyFont="1" applyFill="1"/>
    <xf numFmtId="8" fontId="2" fillId="9" borderId="0" xfId="0" applyNumberFormat="1" applyFont="1" applyFill="1"/>
    <xf numFmtId="0" fontId="9" fillId="9" borderId="0" xfId="0" applyFont="1" applyFill="1" applyProtection="1">
      <protection locked="0"/>
    </xf>
    <xf numFmtId="0" fontId="17" fillId="9" borderId="0" xfId="0" applyFont="1" applyFill="1" applyProtection="1">
      <protection locked="0"/>
    </xf>
    <xf numFmtId="0" fontId="2" fillId="9" borderId="0" xfId="0" applyFont="1" applyFill="1" applyAlignment="1">
      <alignment horizontal="center"/>
    </xf>
    <xf numFmtId="0" fontId="10" fillId="9" borderId="0" xfId="0" applyFont="1" applyFill="1" applyAlignment="1">
      <alignment horizontal="center" vertical="center"/>
    </xf>
    <xf numFmtId="0" fontId="12" fillId="9" borderId="0" xfId="10" applyFill="1" applyAlignment="1">
      <alignment horizontal="center" vertical="center"/>
    </xf>
    <xf numFmtId="0" fontId="10" fillId="9" borderId="0" xfId="0" applyFont="1" applyFill="1" applyAlignment="1">
      <alignment horizontal="center" vertical="center" wrapText="1"/>
    </xf>
    <xf numFmtId="0" fontId="7" fillId="9" borderId="0" xfId="0" applyFont="1" applyFill="1" applyAlignment="1">
      <alignment horizontal="center" vertical="center"/>
    </xf>
    <xf numFmtId="0" fontId="12" fillId="9" borderId="0" xfId="10" applyFill="1" applyProtection="1">
      <alignment horizontal="left" vertical="center"/>
    </xf>
    <xf numFmtId="0" fontId="8" fillId="9" borderId="0" xfId="0" applyFont="1" applyFill="1"/>
    <xf numFmtId="0" fontId="16" fillId="4" borderId="8" xfId="0" applyFont="1" applyFill="1" applyBorder="1" applyAlignment="1">
      <alignment horizontal="left" vertical="center"/>
    </xf>
    <xf numFmtId="0" fontId="16" fillId="4" borderId="3" xfId="0" applyFont="1" applyFill="1" applyBorder="1" applyAlignment="1">
      <alignment horizontal="left" vertical="center"/>
    </xf>
    <xf numFmtId="0" fontId="16" fillId="4" borderId="25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left" vertical="center"/>
    </xf>
    <xf numFmtId="0" fontId="16" fillId="4" borderId="17" xfId="0" applyFont="1" applyFill="1" applyBorder="1" applyAlignment="1">
      <alignment horizontal="left" vertical="center"/>
    </xf>
    <xf numFmtId="0" fontId="16" fillId="4" borderId="18" xfId="0" applyFont="1" applyFill="1" applyBorder="1" applyAlignment="1">
      <alignment horizontal="left" vertical="center"/>
    </xf>
    <xf numFmtId="0" fontId="8" fillId="9" borderId="53" xfId="0" applyFont="1" applyFill="1" applyBorder="1"/>
    <xf numFmtId="0" fontId="16" fillId="4" borderId="31" xfId="0" applyFont="1" applyFill="1" applyBorder="1" applyAlignment="1">
      <alignment horizontal="left" vertical="center"/>
    </xf>
    <xf numFmtId="0" fontId="16" fillId="4" borderId="32" xfId="0" applyFont="1" applyFill="1" applyBorder="1" applyAlignment="1">
      <alignment horizontal="left" vertical="center"/>
    </xf>
    <xf numFmtId="0" fontId="16" fillId="4" borderId="43" xfId="0" applyFont="1" applyFill="1" applyBorder="1" applyAlignment="1">
      <alignment horizontal="left" vertical="center"/>
    </xf>
    <xf numFmtId="0" fontId="11" fillId="0" borderId="30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</cellXfs>
  <cellStyles count="31">
    <cellStyle name="Comma" xfId="15" builtinId="3"/>
    <cellStyle name="EUR" xfId="4" xr:uid="{00000000-0005-0000-0000-000000000000}"/>
    <cellStyle name="EUR 2" xfId="20" xr:uid="{BD34AE7F-97DB-46D4-9683-EF48466F79F6}"/>
    <cellStyle name="EUR/MWh" xfId="9" xr:uid="{00000000-0005-0000-0000-000001000000}"/>
    <cellStyle name="EUR/MWh 2" xfId="24" xr:uid="{5166D548-F6DB-42DD-B28F-91D0A3BF6B2B}"/>
    <cellStyle name="Faktor" xfId="13" xr:uid="{00000000-0005-0000-0000-000002000000}"/>
    <cellStyle name="Faktor 2" xfId="26" xr:uid="{C5D1ADC0-61D6-4940-B294-319A629740FA}"/>
    <cellStyle name="kWh" xfId="8" xr:uid="{00000000-0005-0000-0000-000003000000}"/>
    <cellStyle name="kWh 2" xfId="14" xr:uid="{7FA5C4A7-7698-4928-84A0-ED1CECD5637E}"/>
    <cellStyle name="kWh 2 2" xfId="27" xr:uid="{C3E14C02-4A82-40B4-89ED-F094F4A57967}"/>
    <cellStyle name="kWh 3" xfId="23" xr:uid="{D1757455-0B3B-48F7-B5B2-9E7B6701C4C1}"/>
    <cellStyle name="Naslov m" xfId="10" xr:uid="{00000000-0005-0000-0000-000005000000}"/>
    <cellStyle name="Naslov v" xfId="11" xr:uid="{00000000-0005-0000-0000-000006000000}"/>
    <cellStyle name="Navadno 2 2" xfId="12" xr:uid="{00000000-0005-0000-0000-000008000000}"/>
    <cellStyle name="Navadno 2 2 2" xfId="25" xr:uid="{126A7E8A-BBFF-4822-A93D-4A4058BDAFAC}"/>
    <cellStyle name="Navadno 4 2" xfId="19" xr:uid="{83355D4C-450D-4E2D-B84B-9237A6769EA1}"/>
    <cellStyle name="Navadno 5" xfId="16" xr:uid="{7313DF61-290B-4216-B2F1-E0FEC1E20977}"/>
    <cellStyle name="Normal" xfId="0" builtinId="0"/>
    <cellStyle name="Normal 2" xfId="3" xr:uid="{00000000-0005-0000-0000-000009000000}"/>
    <cellStyle name="Odstotek 3" xfId="5" xr:uid="{00000000-0005-0000-0000-00000B000000}"/>
    <cellStyle name="Odstotek 3 2" xfId="21" xr:uid="{DB9F0D81-8785-454A-9A5D-E3B7C492F013}"/>
    <cellStyle name="Percent" xfId="1" builtinId="5"/>
    <cellStyle name="Percent 2" xfId="7" xr:uid="{00000000-0005-0000-0000-00000C000000}"/>
    <cellStyle name="Title" xfId="2" builtinId="15" customBuiltin="1"/>
    <cellStyle name="Valuta 2" xfId="6" xr:uid="{00000000-0005-0000-0000-00000D000000}"/>
    <cellStyle name="Valuta 2 2" xfId="22" xr:uid="{407FED9D-96B6-4AB9-B1D3-3D13C0C79F72}"/>
    <cellStyle name="Valuta 3" xfId="28" xr:uid="{CBFA9E0D-CBB2-478E-B940-FE04AC527AA9}"/>
    <cellStyle name="Valuta 5" xfId="18" xr:uid="{71C853E8-8546-40D3-B8A7-4DB593232D3D}"/>
    <cellStyle name="Valuta 5 2" xfId="30" xr:uid="{3C5BFFC5-CD83-46B2-88F9-AEB5E0A5409D}"/>
    <cellStyle name="Vejica 2" xfId="29" xr:uid="{D0589879-98CD-4443-94F4-89595CE84C3C}"/>
    <cellStyle name="Vejica 3" xfId="17" xr:uid="{963D8D9C-3120-4423-867C-27468CBC0DBA}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>
          <fgColor indexed="64"/>
          <bgColor rgb="FFFFFF00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>
          <fgColor indexed="64"/>
          <bgColor rgb="FFFFFF0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rgb="FFFFFF0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E5D4EF"/>
      <color rgb="FFFBE0E0"/>
      <color rgb="FFFFF0D4"/>
      <color rgb="FFFFFFEA"/>
      <color rgb="FFD7F9F8"/>
      <color rgb="FFD6E6FF"/>
      <color rgb="FFFFE070"/>
      <color rgb="FFFFE0BD"/>
      <color rgb="FFE5FCFF"/>
      <color rgb="FFBFEE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9" Type="http://schemas.openxmlformats.org/officeDocument/2006/relationships/externalLink" Target="externalLinks/externalLink22.xml"/><Relationship Id="rId21" Type="http://schemas.openxmlformats.org/officeDocument/2006/relationships/externalLink" Target="externalLinks/externalLink4.xml"/><Relationship Id="rId34" Type="http://schemas.openxmlformats.org/officeDocument/2006/relationships/externalLink" Target="externalLinks/externalLink17.xml"/><Relationship Id="rId42" Type="http://schemas.openxmlformats.org/officeDocument/2006/relationships/externalLink" Target="externalLinks/externalLink25.xml"/><Relationship Id="rId47" Type="http://schemas.openxmlformats.org/officeDocument/2006/relationships/externalLink" Target="externalLinks/externalLink30.xml"/><Relationship Id="rId50" Type="http://schemas.openxmlformats.org/officeDocument/2006/relationships/styles" Target="styles.xml"/><Relationship Id="rId55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2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externalLink" Target="externalLinks/externalLink15.xml"/><Relationship Id="rId37" Type="http://schemas.openxmlformats.org/officeDocument/2006/relationships/externalLink" Target="externalLinks/externalLink20.xml"/><Relationship Id="rId40" Type="http://schemas.openxmlformats.org/officeDocument/2006/relationships/externalLink" Target="externalLinks/externalLink23.xml"/><Relationship Id="rId45" Type="http://schemas.openxmlformats.org/officeDocument/2006/relationships/externalLink" Target="externalLinks/externalLink28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35" Type="http://schemas.openxmlformats.org/officeDocument/2006/relationships/externalLink" Target="externalLinks/externalLink18.xml"/><Relationship Id="rId43" Type="http://schemas.openxmlformats.org/officeDocument/2006/relationships/externalLink" Target="externalLinks/externalLink26.xml"/><Relationship Id="rId48" Type="http://schemas.openxmlformats.org/officeDocument/2006/relationships/externalLink" Target="externalLinks/externalLink31.xml"/><Relationship Id="rId56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externalLink" Target="externalLinks/externalLink16.xml"/><Relationship Id="rId38" Type="http://schemas.openxmlformats.org/officeDocument/2006/relationships/externalLink" Target="externalLinks/externalLink21.xml"/><Relationship Id="rId46" Type="http://schemas.openxmlformats.org/officeDocument/2006/relationships/externalLink" Target="externalLinks/externalLink29.xml"/><Relationship Id="rId20" Type="http://schemas.openxmlformats.org/officeDocument/2006/relationships/externalLink" Target="externalLinks/externalLink3.xml"/><Relationship Id="rId41" Type="http://schemas.openxmlformats.org/officeDocument/2006/relationships/externalLink" Target="externalLinks/externalLink24.xml"/><Relationship Id="rId54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36" Type="http://schemas.openxmlformats.org/officeDocument/2006/relationships/externalLink" Target="externalLinks/externalLink19.xml"/><Relationship Id="rId49" Type="http://schemas.openxmlformats.org/officeDocument/2006/relationships/theme" Target="theme/theme1.xml"/><Relationship Id="rId57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4.xml"/><Relationship Id="rId44" Type="http://schemas.openxmlformats.org/officeDocument/2006/relationships/externalLink" Target="externalLinks/externalLink27.xml"/><Relationship Id="rId52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uments%20and%20Settings\Uporabnik\Local%20Settings\Temporary%20Internet%20Files\OLK1\DHS%20ponuda-Tender%2026%20postaja%20%2018%2005%2009%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rojekti\Razsvetljava%20javna\-%20BIH\Bijeljina\Delovna\Kalkulacija%20JR%20Bijeljina%20-GRAD%20ni&#382;je%20mo&#269;i%20-OKOLNA%20ni&#382;je%20mo&#269;i%20preme&#353;&#269;ene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rojekti\Razpisi-ponudbe\JR%20Polj&#269;ane\Kalkulacija%20Polj&#269;ane%20(2015_kon&#269;ni)%2021.04.2016%20-dodatne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gedoo.sharepoint.com/Users/miha.babnik/Resalta%20d.o.o/Public%20-%20Public/01_Development_SLO/T&#352;C%20Maribor/02%20-%20Feasibility%20&amp;%20CBA/01%20Analiza%20JZP/T&#352;C_NoP_Razsvetljava_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5.207.57\Skupni\_RAZVOJ_PROJEKTOV\2019\19_005_EUO%20MOL%20EOL%203\08_Kalkulacije\0_Promotorska%20vloga\SEZNAM_EUO_V2.6_EOL3_rev0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Uporabnik\Local%20Settings\Temporary%20Internet%20Files\OLK1\DHS%20ponuda-Tender%2026%20postaja%20%2018%2005%2009%2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My%20Documents\contracting\TVT\logatec-kalk03mar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rojekti\Razpisi-ponudbe\JR%20Izola\Ocena%20potenciala\Kalkulacija%20JR%20Izola%20(podatki%20GOLEA_15092015)%20-2%20-%20predelaj%20ekonomiko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ATA\Projekti\2005\DOLB_Raka\Izra&#269;uni\Raka_1.%20faz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rojekti\Razpisi-ponudbe\2014-29-JR%20Ob&#269;ina%20Ho&#269;e%20Slivnica\Tehni&#269;na-delovna%20mapa\Tehni&#269;na%20dokumentacija\Philips\Kalkulacija%20JR%20Ho&#269;e%20Philips%20-3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rojekti\Razsvetljava%20javna\Ho&#269;e\Oktober2013\Kalkulacija%20JR%20Ho&#269;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ocuments%20and%20Settings\Uporabnik\Local%20Settings\Temporary%20Internet%20Files\OLK1\DHS%20ponuda-Tender%2026%20postaja%20%2018%2005%2009%2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5.207.57\Skupni\Projekti\Razpisi-ponudbe\2016-29%20EUO%20MOL%20EOL%202%20Promotorska%20vloga\Kalkulacija\MOL%20EOL2%20-%20Seznam%20objektov%20in%20porabe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2\plan\a-delo\eltec\2008\Razvojni_projekti\Tehnoloska_oprema\04-Poslovni%20nacrt%20(financni%20del)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rojekti\Razpisi-ponudbe\JR%20Piran\Kalkulacija%20Elektro%20Piran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rojekti\Razpisi-ponudbe\2017-29-EUO%20MO%20Kranj\Kalkulacija%20Konk.%20dialog\Priloga%201_ZA%20KV.%20PONUDBO_KON&#268;NA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linOgr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rojekti\Razpisi-ponudbe\JR%20Ribnica\DIIP\Ribnica%20Zamenjava%20jr%20HQI-LED%20RVC%20UJR%20-1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gedoo.sharepoint.com/Users/martin.paldauf/Desktop/Prezra&#269;evanje%20UKC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rojektna-pisarna\KOSOVNICE\SPC\Red%20Group\Sales\Dept\Sales%20support\PKL%202004&#247;2008\PKL%202008\KRS%20PKL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gedoo.sharepoint.com/development/Development/Public/01_SLO/EOL3/02%20-%20Feasibility%20&amp;%20CBA/01%20Analiza%20JZP/OB35%20-%20OS%20Prule/Izra&#269;uni/EOL3_S6_OB35_O&#352;%20Prule_ver6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rojekti\Razsvetljava%20javna\Ho&#269;e\IZVEDBA\Kalkulacija%20JR%20Ho&#269;e_razpis%20-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MES\Documents%20and%20Settings\Uporabnik\Local%20Settings\Temporary%20Internet%20Files\OLK1\DHS%20ponuda-Tender%2026%20postaja%20%2018%2005%2009%20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Projekti\Razsvetljava%20javna\Maribor\Delovna\Kalkulacija%20JR_MOM_2013%20-6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gedoo.sharepoint.com/Users/miha.babnik/Resalta%20d.o.o/Public%20-%20Public/01_Development_SLO/EOL3/02%20-%20Feasibility%20&amp;%20CBA/00%20Referencni%20podatki/PODATKI%20HEP%20-%20DOBAVA%20ELEKTRI&#268;NE%20ENERGIJE/O&#352;%20FU&#381;IN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atje\d\0_PROJEKT-PREDLOGE\01_DELAVNICA\C_POPIS\30_OGREVANJE\OMAHEN\OGREPRO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gedoo.sharepoint.com/Users/miha.babnik/Resalta%20d.o.o/Public%20-%20Public/01_Development_SLO/EOL3/02%20-%20Feasibility%20&amp;%20CBA/01%20Analiza%20JZP/OB19%20-%20Dvorana%20Je&#382;ica/Izra&#269;uni/EOL3_S6-OB19_&#352;C%20Je&#382;ica_ver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Kogeneracija_Cerkno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Users\Blaza\AppData\Local\Microsoft\Windows\Temporary%20Internet%20Files\Content.Outlook\N0QFNMTH\Sl_bistrica-2008-12-2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uments%20and%20Settings\Blaza\My%20Documents\contracting\TVT\logatec-kalk03ma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2007\pregled\projekti%2002%2007\contracting\TVT\logatec-kalk03ma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Rates"/>
      <sheetName val="Kurs walut"/>
      <sheetName val="OFFER"/>
      <sheetName val="Pipe"/>
      <sheetName val="zbiorczy (new)"/>
      <sheetName val="Prezračevanje"/>
      <sheetName val="Kurs_walut"/>
      <sheetName val="zbiorczy_(new)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I I TUMAČENJE "/>
      <sheetName val="POSTOJEĆE STANJE"/>
      <sheetName val="SVJETILJKE REKAPITULACIJA"/>
      <sheetName val="NAKON ZAMJENE"/>
      <sheetName val="VARIJANTA 4 GRAD"/>
      <sheetName val="VARIJANTA 4 OKOLNA"/>
      <sheetName val="REKAPITULACIJA VARIJANTA 4"/>
      <sheetName val="UŠTEDA SNAGA 4"/>
      <sheetName val="REALNA POTROŠNJA"/>
      <sheetName val="Tip_svetilke"/>
      <sheetName val="SVJETILJKE GRAD"/>
      <sheetName val="Kalkulacija GRAD"/>
      <sheetName val="svjetiljke okolna"/>
      <sheetName val="Kalkulacija okolna"/>
      <sheetName val="REKAPITULACIJA"/>
      <sheetName val="Vzdrževanje"/>
      <sheetName val="Povpraševanje"/>
      <sheetName val="INPUTI_I_TUMAČENJE_"/>
      <sheetName val="POSTOJEĆE_STANJE"/>
      <sheetName val="SVJETILJKE_REKAPITULACIJA"/>
      <sheetName val="NAKON_ZAMJENE"/>
      <sheetName val="VARIJANTA_4_GRAD"/>
      <sheetName val="VARIJANTA_4_OKOLNA"/>
      <sheetName val="REKAPITULACIJA_VARIJANTA_4"/>
      <sheetName val="UŠTEDA_SNAGA_4"/>
      <sheetName val="REALNA_POTROŠNJA"/>
      <sheetName val="SVJETILJKE_GRAD"/>
      <sheetName val="Kalkulacija_GRAD"/>
      <sheetName val="svjetiljke_okolna"/>
      <sheetName val="Kalkulacija_okoln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C2">
            <v>0.08</v>
          </cell>
        </row>
        <row r="40">
          <cell r="C40">
            <v>4000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E"/>
      <sheetName val="Seznam obstoječih svetilk"/>
      <sheetName val="Skupaj Poljčane"/>
      <sheetName val="Poljčane - neustrezne menjava"/>
      <sheetName val="Popis menjanih svetilk"/>
      <sheetName val="Brežnica"/>
      <sheetName val="Ljubično"/>
      <sheetName val="Lovnik"/>
      <sheetName val="Lušečka vas"/>
      <sheetName val="Poljčane - gasilski dom"/>
      <sheetName val="TP Brežnica 2"/>
      <sheetName val="Cesta na Boč"/>
      <sheetName val="Čadramska vas"/>
      <sheetName val="OŠ Poljčane"/>
      <sheetName val="TP Hrastovec"/>
      <sheetName val="TP Krasna"/>
      <sheetName val="TP Modraže"/>
      <sheetName val="TP Podboč"/>
      <sheetName val="TP Čretnik"/>
      <sheetName val="Maharska vas"/>
      <sheetName val="Pekel"/>
      <sheetName val="Bistriška 42"/>
      <sheetName val="Sp. Poljčane"/>
      <sheetName val="Stanovksa 2"/>
      <sheetName val="Zg. Poljčane"/>
      <sheetName val="Zg. Poljčane 3"/>
      <sheetName val="Sp. Poljčane 2"/>
      <sheetName val="Stanovsko 20-21"/>
      <sheetName val="Stanovkso 68"/>
      <sheetName val="Studenice 2"/>
      <sheetName val="Studenice 3"/>
      <sheetName val="Čretnik"/>
      <sheetName val="Nova ulica"/>
      <sheetName val="Črpališče"/>
      <sheetName val="Priloga 1-Last.fin. "/>
      <sheetName val="Priloga 2-Javno-zasebno part."/>
      <sheetName val="EKONOMIKA JR Poljčane dod"/>
      <sheetName val="TABELE"/>
      <sheetName val="Gradnja "/>
      <sheetName val="Kalkulacija"/>
      <sheetName val="Tip_svetilke"/>
      <sheetName val="Popis"/>
      <sheetName val="EK"/>
      <sheetName val="VzpostavitevEK"/>
      <sheetName val="LetniStrosekEK"/>
      <sheetName val="CenikEK"/>
      <sheetName val="Obstoječe stanje energija"/>
      <sheetName val="Vzdrževanje"/>
      <sheetName val="Seznam_obstoječih_svetilk"/>
      <sheetName val="Skupaj_Poljčane"/>
      <sheetName val="Poljčane_-_neustrezne_menjava"/>
      <sheetName val="Popis_menjanih_svetilk"/>
      <sheetName val="Lušečka_vas"/>
      <sheetName val="Poljčane_-_gasilski_dom"/>
      <sheetName val="TP_Brežnica_2"/>
      <sheetName val="Cesta_na_Boč"/>
      <sheetName val="Čadramska_vas"/>
      <sheetName val="OŠ_Poljčane"/>
      <sheetName val="TP_Hrastovec"/>
      <sheetName val="TP_Krasna"/>
      <sheetName val="TP_Modraže"/>
      <sheetName val="TP_Podboč"/>
      <sheetName val="TP_Čretnik"/>
      <sheetName val="Maharska_vas"/>
      <sheetName val="Bistriška_42"/>
      <sheetName val="Sp__Poljčane"/>
      <sheetName val="Stanovksa_2"/>
      <sheetName val="Zg__Poljčane"/>
      <sheetName val="Zg__Poljčane_3"/>
      <sheetName val="Sp__Poljčane_2"/>
      <sheetName val="Stanovsko_20-21"/>
      <sheetName val="Stanovkso_68"/>
      <sheetName val="Studenice_2"/>
      <sheetName val="Studenice_3"/>
      <sheetName val="Nova_ulica"/>
      <sheetName val="Priloga_1-Last_fin__"/>
      <sheetName val="Priloga_2-Javno-zasebno_part_"/>
      <sheetName val="EKONOMIKA_JR_Poljčane_dod"/>
      <sheetName val="Gradnja_"/>
      <sheetName val="Obstoječe_stanje_energija"/>
    </sheetNames>
    <sheetDataSet>
      <sheetData sheetId="0">
        <row r="1">
          <cell r="B1">
            <v>4000</v>
          </cell>
        </row>
        <row r="2">
          <cell r="B2">
            <v>0.126</v>
          </cell>
        </row>
      </sheetData>
      <sheetData sheetId="1"/>
      <sheetData sheetId="2">
        <row r="2">
          <cell r="J2">
            <v>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4">
          <cell r="C4">
            <v>83</v>
          </cell>
        </row>
      </sheetData>
      <sheetData sheetId="40"/>
      <sheetData sheetId="41">
        <row r="3">
          <cell r="Y3">
            <v>77</v>
          </cell>
        </row>
      </sheetData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zhodišča za ekonomiko"/>
      <sheetName val="UKREPI"/>
      <sheetName val="UKREPI-staro"/>
      <sheetName val="Pripomočki"/>
      <sheetName val="1.0 Energenti"/>
      <sheetName val="1.1 Referenčne vrednosti"/>
      <sheetName val="2.0 CNS"/>
      <sheetName val="2.1 Fasada"/>
      <sheetName val="2.3 Stavbno pohištvo"/>
      <sheetName val="2.2 Strehe in podstrešja"/>
      <sheetName val="3.2 TV in TG in HI"/>
      <sheetName val="3.1 Ogrevalni sistem"/>
      <sheetName val="3.2 Prenova toplotne postaje"/>
      <sheetName val="3.3 Prezračevanje+moč"/>
      <sheetName val="4.1 Prenova razsvetljave"/>
      <sheetName val="Zamenjava svetilk"/>
      <sheetName val="5. Prenova kotlovnice"/>
      <sheetName val="6. Prenova zunanje razsvetljave"/>
      <sheetName val="Obračun - Toplota"/>
      <sheetName val="Obračun - Elektrika"/>
      <sheetName val="Obračun - Vzdrževanje"/>
      <sheetName val="Obračun - Skupaj"/>
    </sheetNames>
    <sheetDataSet>
      <sheetData sheetId="0"/>
      <sheetData sheetId="1"/>
      <sheetData sheetId="2"/>
      <sheetData sheetId="3">
        <row r="4">
          <cell r="D4" t="str">
            <v>DO</v>
          </cell>
        </row>
        <row r="27">
          <cell r="C27" t="str">
            <v>Viseča</v>
          </cell>
        </row>
        <row r="28">
          <cell r="C28" t="str">
            <v>Stropna</v>
          </cell>
        </row>
        <row r="29">
          <cell r="C29" t="str">
            <v>Vgradna</v>
          </cell>
        </row>
        <row r="30">
          <cell r="C30" t="str">
            <v>Reflektor</v>
          </cell>
        </row>
        <row r="31">
          <cell r="C31" t="str">
            <v>Namizna</v>
          </cell>
        </row>
        <row r="32">
          <cell r="C32" t="str">
            <v>Stenska</v>
          </cell>
        </row>
        <row r="33">
          <cell r="C33"/>
        </row>
        <row r="34">
          <cell r="C34"/>
        </row>
        <row r="39">
          <cell r="C39" t="str">
            <v>Objekt A</v>
          </cell>
        </row>
        <row r="40">
          <cell r="C40" t="str">
            <v>Objekt B</v>
          </cell>
        </row>
        <row r="41">
          <cell r="C41" t="str">
            <v>Stari dom</v>
          </cell>
        </row>
        <row r="42">
          <cell r="C42" t="str">
            <v>Novi dom</v>
          </cell>
        </row>
        <row r="43">
          <cell r="C43"/>
        </row>
        <row r="44">
          <cell r="C44"/>
        </row>
        <row r="49">
          <cell r="C49" t="str">
            <v>Garderoba</v>
          </cell>
          <cell r="D49">
            <v>3</v>
          </cell>
          <cell r="E49">
            <v>250</v>
          </cell>
        </row>
        <row r="50">
          <cell r="C50" t="str">
            <v>WC/Tuš</v>
          </cell>
          <cell r="D50">
            <v>4</v>
          </cell>
          <cell r="E50">
            <v>200</v>
          </cell>
        </row>
        <row r="51">
          <cell r="C51" t="str">
            <v>Hodnik</v>
          </cell>
          <cell r="D51">
            <v>8</v>
          </cell>
          <cell r="E51">
            <v>200</v>
          </cell>
        </row>
        <row r="52">
          <cell r="C52" t="str">
            <v>Skladišče/tehnični prostor</v>
          </cell>
          <cell r="D52">
            <v>1</v>
          </cell>
          <cell r="E52">
            <v>200</v>
          </cell>
        </row>
        <row r="53">
          <cell r="C53" t="str">
            <v>Pisarna</v>
          </cell>
          <cell r="D53">
            <v>8</v>
          </cell>
          <cell r="E53">
            <v>250</v>
          </cell>
        </row>
        <row r="54">
          <cell r="C54" t="str">
            <v>Kabinet</v>
          </cell>
          <cell r="D54">
            <v>4</v>
          </cell>
          <cell r="E54">
            <v>200</v>
          </cell>
        </row>
        <row r="55">
          <cell r="C55" t="str">
            <v>Stopnišče</v>
          </cell>
          <cell r="D55">
            <v>8</v>
          </cell>
          <cell r="E55">
            <v>200</v>
          </cell>
        </row>
        <row r="56">
          <cell r="C56" t="str">
            <v>Vhod</v>
          </cell>
          <cell r="D56">
            <v>5</v>
          </cell>
          <cell r="E56">
            <v>200</v>
          </cell>
        </row>
        <row r="57">
          <cell r="C57" t="str">
            <v>Generalna - učilnica</v>
          </cell>
          <cell r="D57">
            <v>5</v>
          </cell>
          <cell r="E57">
            <v>200</v>
          </cell>
        </row>
        <row r="58">
          <cell r="C58" t="str">
            <v>Tabla - učilnica</v>
          </cell>
          <cell r="D58">
            <v>3</v>
          </cell>
          <cell r="E58">
            <v>200</v>
          </cell>
        </row>
        <row r="59">
          <cell r="C59" t="str">
            <v>Soba</v>
          </cell>
          <cell r="D59">
            <v>5</v>
          </cell>
          <cell r="E59">
            <v>200</v>
          </cell>
        </row>
        <row r="60">
          <cell r="C60" t="str">
            <v>Jedilnica</v>
          </cell>
          <cell r="D60">
            <v>5</v>
          </cell>
          <cell r="E60">
            <v>200</v>
          </cell>
        </row>
        <row r="61">
          <cell r="C61" t="str">
            <v>Kuhinja</v>
          </cell>
          <cell r="D61">
            <v>5</v>
          </cell>
          <cell r="E61">
            <v>200</v>
          </cell>
        </row>
        <row r="62">
          <cell r="C62" t="str">
            <v>Delovni prostor</v>
          </cell>
          <cell r="D62">
            <v>5</v>
          </cell>
          <cell r="E62">
            <v>200</v>
          </cell>
        </row>
        <row r="63">
          <cell r="C63"/>
          <cell r="D63"/>
          <cell r="E63"/>
        </row>
        <row r="68">
          <cell r="C68" t="str">
            <v>klet</v>
          </cell>
        </row>
        <row r="69">
          <cell r="C69" t="str">
            <v>pritličje</v>
          </cell>
        </row>
        <row r="70">
          <cell r="C70" t="str">
            <v>1nad</v>
          </cell>
        </row>
        <row r="71">
          <cell r="C71" t="str">
            <v>2nad</v>
          </cell>
        </row>
        <row r="72">
          <cell r="C72" t="str">
            <v>3nad</v>
          </cell>
        </row>
        <row r="73">
          <cell r="C73" t="str">
            <v>4nad</v>
          </cell>
        </row>
        <row r="74">
          <cell r="C74"/>
        </row>
        <row r="75">
          <cell r="C75"/>
        </row>
        <row r="80">
          <cell r="C80" t="str">
            <v>Opal</v>
          </cell>
          <cell r="D80">
            <v>0.45</v>
          </cell>
        </row>
        <row r="81">
          <cell r="C81" t="str">
            <v>Prozorna</v>
          </cell>
          <cell r="D81">
            <v>0.9</v>
          </cell>
        </row>
        <row r="82">
          <cell r="C82" t="str">
            <v>Refleksija</v>
          </cell>
          <cell r="D82">
            <v>0.65</v>
          </cell>
        </row>
        <row r="83">
          <cell r="C83" t="str">
            <v>Brez</v>
          </cell>
          <cell r="D83">
            <v>1</v>
          </cell>
        </row>
        <row r="84">
          <cell r="C84"/>
          <cell r="D84"/>
        </row>
        <row r="89">
          <cell r="C89" t="str">
            <v>Nitka</v>
          </cell>
          <cell r="D89">
            <v>1000</v>
          </cell>
          <cell r="E89" t="str">
            <v>/</v>
          </cell>
          <cell r="F89" t="str">
            <v>Opal</v>
          </cell>
        </row>
        <row r="90">
          <cell r="C90" t="str">
            <v>Halo</v>
          </cell>
          <cell r="D90">
            <v>1000</v>
          </cell>
          <cell r="E90" t="str">
            <v>/</v>
          </cell>
          <cell r="F90" t="str">
            <v>Refleksija</v>
          </cell>
        </row>
        <row r="91">
          <cell r="C91" t="str">
            <v>CFL</v>
          </cell>
          <cell r="D91">
            <v>10000</v>
          </cell>
          <cell r="E91" t="str">
            <v>/</v>
          </cell>
          <cell r="F91" t="str">
            <v>Refleksija</v>
          </cell>
        </row>
        <row r="92">
          <cell r="C92" t="str">
            <v>T8 Fluo</v>
          </cell>
          <cell r="D92">
            <v>20000</v>
          </cell>
          <cell r="E92" t="str">
            <v>KPN</v>
          </cell>
          <cell r="F92" t="str">
            <v>Refleksija</v>
          </cell>
        </row>
        <row r="93">
          <cell r="C93" t="str">
            <v>T5 Fluo</v>
          </cell>
          <cell r="D93">
            <v>40000</v>
          </cell>
          <cell r="E93" t="str">
            <v>EPN</v>
          </cell>
          <cell r="F93" t="str">
            <v>Refleksija</v>
          </cell>
        </row>
        <row r="94">
          <cell r="C94" t="str">
            <v>PI2_CFL</v>
          </cell>
          <cell r="D94">
            <v>10000</v>
          </cell>
          <cell r="E94" t="str">
            <v>KPN</v>
          </cell>
          <cell r="F94" t="str">
            <v>Refleksija</v>
          </cell>
        </row>
        <row r="95">
          <cell r="C95" t="str">
            <v>PI4_CFL</v>
          </cell>
          <cell r="D95">
            <v>12000</v>
          </cell>
          <cell r="E95" t="str">
            <v>KPN</v>
          </cell>
          <cell r="F95" t="str">
            <v>Refleksija</v>
          </cell>
        </row>
        <row r="96">
          <cell r="C96" t="str">
            <v>PI4_SQUARE_CFL</v>
          </cell>
          <cell r="D96">
            <v>12000</v>
          </cell>
          <cell r="E96" t="str">
            <v>KPN</v>
          </cell>
          <cell r="F96" t="str">
            <v>Opal</v>
          </cell>
        </row>
        <row r="97">
          <cell r="C97" t="str">
            <v>MH</v>
          </cell>
          <cell r="D97">
            <v>15000</v>
          </cell>
          <cell r="E97" t="str">
            <v>KPN</v>
          </cell>
          <cell r="F97" t="str">
            <v>Refleksija</v>
          </cell>
        </row>
        <row r="98">
          <cell r="C98" t="str">
            <v>HPS</v>
          </cell>
          <cell r="D98">
            <v>10000</v>
          </cell>
          <cell r="E98" t="str">
            <v>KPN</v>
          </cell>
          <cell r="F98" t="str">
            <v>Refleksija</v>
          </cell>
        </row>
        <row r="99">
          <cell r="C99" t="str">
            <v>MV</v>
          </cell>
          <cell r="D99">
            <v>24000</v>
          </cell>
          <cell r="E99" t="str">
            <v>KPN</v>
          </cell>
          <cell r="F99" t="str">
            <v>Refleksija</v>
          </cell>
        </row>
        <row r="100">
          <cell r="C100" t="str">
            <v>LED</v>
          </cell>
          <cell r="D100">
            <v>55000</v>
          </cell>
          <cell r="E100" t="str">
            <v>/</v>
          </cell>
          <cell r="F100" t="str">
            <v>Brez</v>
          </cell>
        </row>
        <row r="101">
          <cell r="C101"/>
          <cell r="D101"/>
          <cell r="E101"/>
          <cell r="F101"/>
        </row>
        <row r="102">
          <cell r="C102"/>
          <cell r="D102"/>
          <cell r="E102"/>
          <cell r="F102"/>
        </row>
        <row r="109">
          <cell r="C109" t="str">
            <v>Nitka-5W</v>
          </cell>
          <cell r="F109">
            <v>20</v>
          </cell>
          <cell r="H109">
            <v>0</v>
          </cell>
          <cell r="I109">
            <v>0</v>
          </cell>
          <cell r="J109">
            <v>0.55999999999999994</v>
          </cell>
        </row>
        <row r="110">
          <cell r="C110" t="str">
            <v>Nitka-15W</v>
          </cell>
          <cell r="F110">
            <v>88</v>
          </cell>
          <cell r="H110">
            <v>0</v>
          </cell>
          <cell r="I110">
            <v>0</v>
          </cell>
          <cell r="J110">
            <v>0.8</v>
          </cell>
        </row>
        <row r="111">
          <cell r="C111" t="str">
            <v>Nitka-25W</v>
          </cell>
          <cell r="F111">
            <v>160</v>
          </cell>
          <cell r="H111">
            <v>0</v>
          </cell>
          <cell r="I111">
            <v>0</v>
          </cell>
          <cell r="J111">
            <v>1.2000000000000002</v>
          </cell>
        </row>
        <row r="112">
          <cell r="C112" t="str">
            <v>Nitka-35W</v>
          </cell>
          <cell r="F112">
            <v>280</v>
          </cell>
          <cell r="H112">
            <v>0</v>
          </cell>
          <cell r="I112">
            <v>0</v>
          </cell>
          <cell r="J112">
            <v>1.2800000000000002</v>
          </cell>
        </row>
        <row r="113">
          <cell r="C113" t="str">
            <v>Nitka-40W</v>
          </cell>
          <cell r="F113">
            <v>400</v>
          </cell>
          <cell r="H113">
            <v>0</v>
          </cell>
          <cell r="I113">
            <v>0</v>
          </cell>
          <cell r="J113">
            <v>1.36</v>
          </cell>
        </row>
        <row r="114">
          <cell r="C114" t="str">
            <v>Nitka-50W</v>
          </cell>
          <cell r="F114">
            <v>560</v>
          </cell>
          <cell r="H114">
            <v>0</v>
          </cell>
          <cell r="I114">
            <v>0</v>
          </cell>
          <cell r="J114">
            <v>1.4400000000000002</v>
          </cell>
        </row>
        <row r="115">
          <cell r="C115" t="str">
            <v>Nitka-55W</v>
          </cell>
          <cell r="F115">
            <v>640</v>
          </cell>
          <cell r="H115">
            <v>0</v>
          </cell>
          <cell r="I115">
            <v>0</v>
          </cell>
          <cell r="J115">
            <v>1.52</v>
          </cell>
        </row>
        <row r="116">
          <cell r="C116" t="str">
            <v>Nitka-60W</v>
          </cell>
          <cell r="F116">
            <v>680</v>
          </cell>
          <cell r="H116">
            <v>0</v>
          </cell>
          <cell r="I116">
            <v>0</v>
          </cell>
          <cell r="J116">
            <v>1.6</v>
          </cell>
        </row>
        <row r="117">
          <cell r="C117" t="str">
            <v>Nitka-65W</v>
          </cell>
          <cell r="F117">
            <v>800</v>
          </cell>
          <cell r="H117">
            <v>0</v>
          </cell>
          <cell r="I117">
            <v>0</v>
          </cell>
          <cell r="J117">
            <v>1.8</v>
          </cell>
        </row>
        <row r="118">
          <cell r="C118" t="str">
            <v>Nitka-70W</v>
          </cell>
          <cell r="F118">
            <v>880</v>
          </cell>
          <cell r="H118">
            <v>0</v>
          </cell>
          <cell r="I118">
            <v>0</v>
          </cell>
          <cell r="J118">
            <v>1.92</v>
          </cell>
        </row>
        <row r="119">
          <cell r="C119" t="str">
            <v>Nitka-75W</v>
          </cell>
          <cell r="F119">
            <v>960</v>
          </cell>
          <cell r="H119">
            <v>0</v>
          </cell>
          <cell r="I119">
            <v>0</v>
          </cell>
          <cell r="J119">
            <v>2</v>
          </cell>
        </row>
        <row r="120">
          <cell r="C120" t="str">
            <v>Nitka-90W</v>
          </cell>
          <cell r="F120">
            <v>1160</v>
          </cell>
          <cell r="H120">
            <v>0</v>
          </cell>
          <cell r="I120">
            <v>0</v>
          </cell>
          <cell r="J120">
            <v>2</v>
          </cell>
        </row>
        <row r="121">
          <cell r="C121" t="str">
            <v>Nitka-95W</v>
          </cell>
          <cell r="F121">
            <v>1280</v>
          </cell>
          <cell r="H121">
            <v>0</v>
          </cell>
          <cell r="I121">
            <v>0</v>
          </cell>
          <cell r="J121">
            <v>2</v>
          </cell>
        </row>
        <row r="122">
          <cell r="C122" t="str">
            <v>Nitka-100W</v>
          </cell>
          <cell r="F122">
            <v>1360</v>
          </cell>
          <cell r="H122">
            <v>0</v>
          </cell>
          <cell r="I122">
            <v>0</v>
          </cell>
          <cell r="J122">
            <v>2</v>
          </cell>
        </row>
        <row r="123">
          <cell r="C123" t="str">
            <v>Nitka-135W</v>
          </cell>
          <cell r="F123">
            <v>1880</v>
          </cell>
          <cell r="H123">
            <v>0</v>
          </cell>
          <cell r="I123">
            <v>0</v>
          </cell>
          <cell r="J123">
            <v>2</v>
          </cell>
        </row>
        <row r="124">
          <cell r="C124" t="str">
            <v>Nitka-150W</v>
          </cell>
          <cell r="F124">
            <v>2280</v>
          </cell>
          <cell r="H124">
            <v>0</v>
          </cell>
          <cell r="I124">
            <v>0</v>
          </cell>
          <cell r="J124">
            <v>2.5</v>
          </cell>
        </row>
        <row r="125">
          <cell r="C125" t="str">
            <v>Nitka-200W</v>
          </cell>
          <cell r="F125">
            <v>3120</v>
          </cell>
          <cell r="H125">
            <v>0</v>
          </cell>
          <cell r="I125">
            <v>0</v>
          </cell>
          <cell r="J125">
            <v>3</v>
          </cell>
        </row>
        <row r="126">
          <cell r="C126" t="str">
            <v>Nitka-300W</v>
          </cell>
          <cell r="F126">
            <v>4960</v>
          </cell>
          <cell r="H126">
            <v>0</v>
          </cell>
          <cell r="I126">
            <v>0</v>
          </cell>
          <cell r="J126">
            <v>4</v>
          </cell>
        </row>
        <row r="127">
          <cell r="C127" t="str">
            <v>Halo-29W</v>
          </cell>
          <cell r="F127">
            <v>380</v>
          </cell>
          <cell r="H127">
            <v>0</v>
          </cell>
          <cell r="I127">
            <v>0</v>
          </cell>
          <cell r="J127">
            <v>1.6</v>
          </cell>
        </row>
        <row r="128">
          <cell r="C128" t="str">
            <v>Halo-42W</v>
          </cell>
          <cell r="F128">
            <v>725</v>
          </cell>
          <cell r="H128">
            <v>0</v>
          </cell>
          <cell r="I128">
            <v>0</v>
          </cell>
          <cell r="J128">
            <v>2</v>
          </cell>
        </row>
        <row r="129">
          <cell r="C129" t="str">
            <v>Halo-43W</v>
          </cell>
          <cell r="F129">
            <v>750</v>
          </cell>
          <cell r="H129">
            <v>0</v>
          </cell>
          <cell r="I129">
            <v>0</v>
          </cell>
          <cell r="J129">
            <v>2</v>
          </cell>
        </row>
        <row r="130">
          <cell r="C130" t="str">
            <v>Halo-53W</v>
          </cell>
          <cell r="F130">
            <v>1050</v>
          </cell>
          <cell r="H130">
            <v>0</v>
          </cell>
          <cell r="I130">
            <v>0</v>
          </cell>
          <cell r="J130">
            <v>3.2</v>
          </cell>
        </row>
        <row r="131">
          <cell r="C131" t="str">
            <v>Halo-72W</v>
          </cell>
          <cell r="F131">
            <v>1490</v>
          </cell>
          <cell r="H131">
            <v>0</v>
          </cell>
          <cell r="I131">
            <v>0</v>
          </cell>
          <cell r="J131">
            <v>3.2</v>
          </cell>
        </row>
        <row r="132">
          <cell r="C132" t="str">
            <v>Halo-150W</v>
          </cell>
          <cell r="F132">
            <v>2650</v>
          </cell>
          <cell r="H132">
            <v>0</v>
          </cell>
          <cell r="I132">
            <v>0</v>
          </cell>
          <cell r="J132">
            <v>3.2</v>
          </cell>
        </row>
        <row r="133">
          <cell r="C133" t="str">
            <v>CFL-5W</v>
          </cell>
          <cell r="F133">
            <v>280</v>
          </cell>
          <cell r="H133">
            <v>0</v>
          </cell>
          <cell r="I133">
            <v>0</v>
          </cell>
          <cell r="J133">
            <v>3</v>
          </cell>
        </row>
        <row r="134">
          <cell r="C134" t="str">
            <v>CFL-9W</v>
          </cell>
          <cell r="F134">
            <v>540</v>
          </cell>
          <cell r="H134">
            <v>0</v>
          </cell>
          <cell r="I134">
            <v>0</v>
          </cell>
          <cell r="J134">
            <v>3</v>
          </cell>
        </row>
        <row r="135">
          <cell r="C135" t="str">
            <v>CFL-11W</v>
          </cell>
          <cell r="F135">
            <v>700</v>
          </cell>
          <cell r="H135">
            <v>0</v>
          </cell>
          <cell r="I135">
            <v>0</v>
          </cell>
          <cell r="J135">
            <v>3.5</v>
          </cell>
        </row>
        <row r="136">
          <cell r="C136" t="str">
            <v>CFL-13W</v>
          </cell>
          <cell r="F136">
            <v>800</v>
          </cell>
          <cell r="H136">
            <v>0</v>
          </cell>
          <cell r="I136">
            <v>0</v>
          </cell>
          <cell r="J136">
            <v>4.5</v>
          </cell>
        </row>
        <row r="137">
          <cell r="C137" t="str">
            <v>CFL-15W</v>
          </cell>
          <cell r="F137">
            <v>850</v>
          </cell>
          <cell r="H137">
            <v>0</v>
          </cell>
          <cell r="I137">
            <v>0</v>
          </cell>
          <cell r="J137">
            <v>6</v>
          </cell>
        </row>
        <row r="138">
          <cell r="C138" t="str">
            <v>CFL-14W</v>
          </cell>
          <cell r="F138">
            <v>900</v>
          </cell>
          <cell r="H138">
            <v>0</v>
          </cell>
          <cell r="I138">
            <v>0</v>
          </cell>
          <cell r="J138">
            <v>5</v>
          </cell>
        </row>
        <row r="139">
          <cell r="C139" t="str">
            <v>CFL-18W</v>
          </cell>
          <cell r="F139">
            <v>1200</v>
          </cell>
          <cell r="H139">
            <v>0</v>
          </cell>
          <cell r="I139">
            <v>0</v>
          </cell>
          <cell r="J139">
            <v>6</v>
          </cell>
        </row>
        <row r="140">
          <cell r="C140" t="str">
            <v>CFL-20W</v>
          </cell>
          <cell r="F140">
            <v>1200</v>
          </cell>
          <cell r="H140">
            <v>0</v>
          </cell>
          <cell r="I140">
            <v>0</v>
          </cell>
          <cell r="J140">
            <v>7</v>
          </cell>
        </row>
        <row r="141">
          <cell r="C141" t="str">
            <v>CFL-23W</v>
          </cell>
          <cell r="F141">
            <v>1600</v>
          </cell>
          <cell r="H141">
            <v>0</v>
          </cell>
          <cell r="I141">
            <v>0</v>
          </cell>
          <cell r="J141">
            <v>7.5</v>
          </cell>
        </row>
        <row r="142">
          <cell r="C142" t="str">
            <v>CFL-26W</v>
          </cell>
          <cell r="F142">
            <v>1750</v>
          </cell>
          <cell r="H142">
            <v>0</v>
          </cell>
          <cell r="I142">
            <v>0</v>
          </cell>
          <cell r="J142">
            <v>8</v>
          </cell>
        </row>
        <row r="143">
          <cell r="C143" t="str">
            <v>CFL-27W</v>
          </cell>
          <cell r="F143">
            <v>1800</v>
          </cell>
          <cell r="H143">
            <v>0</v>
          </cell>
          <cell r="I143">
            <v>0</v>
          </cell>
          <cell r="J143">
            <v>8</v>
          </cell>
        </row>
        <row r="144">
          <cell r="C144" t="str">
            <v>CFL-30W</v>
          </cell>
          <cell r="F144">
            <v>2000</v>
          </cell>
          <cell r="H144">
            <v>0</v>
          </cell>
          <cell r="I144">
            <v>0</v>
          </cell>
          <cell r="J144">
            <v>8</v>
          </cell>
        </row>
        <row r="145">
          <cell r="C145" t="str">
            <v>CFL-32W</v>
          </cell>
          <cell r="F145">
            <v>2200</v>
          </cell>
          <cell r="H145">
            <v>0</v>
          </cell>
          <cell r="I145">
            <v>0</v>
          </cell>
          <cell r="J145">
            <v>8.5</v>
          </cell>
        </row>
        <row r="146">
          <cell r="C146" t="str">
            <v>CFL-40W</v>
          </cell>
          <cell r="F146">
            <v>2600</v>
          </cell>
          <cell r="H146">
            <v>0</v>
          </cell>
          <cell r="I146">
            <v>0</v>
          </cell>
          <cell r="J146">
            <v>9</v>
          </cell>
        </row>
        <row r="147">
          <cell r="C147" t="str">
            <v>CFL-42W</v>
          </cell>
          <cell r="F147">
            <v>2750</v>
          </cell>
          <cell r="H147">
            <v>0</v>
          </cell>
          <cell r="I147">
            <v>0</v>
          </cell>
          <cell r="J147">
            <v>9</v>
          </cell>
        </row>
        <row r="148">
          <cell r="C148" t="str">
            <v>CFL-55W</v>
          </cell>
          <cell r="F148">
            <v>3600</v>
          </cell>
          <cell r="H148">
            <v>0</v>
          </cell>
          <cell r="I148">
            <v>0</v>
          </cell>
          <cell r="J148">
            <v>10</v>
          </cell>
        </row>
        <row r="149">
          <cell r="C149" t="str">
            <v>CFL-85W</v>
          </cell>
          <cell r="F149">
            <v>5800</v>
          </cell>
          <cell r="H149">
            <v>0</v>
          </cell>
          <cell r="I149">
            <v>0</v>
          </cell>
          <cell r="J149">
            <v>15</v>
          </cell>
        </row>
        <row r="150">
          <cell r="C150" t="str">
            <v>CFL-105W</v>
          </cell>
          <cell r="F150">
            <v>7000</v>
          </cell>
          <cell r="H150">
            <v>0</v>
          </cell>
          <cell r="I150">
            <v>0</v>
          </cell>
          <cell r="J150">
            <v>20</v>
          </cell>
        </row>
        <row r="151">
          <cell r="C151" t="str">
            <v>CFL-200W</v>
          </cell>
          <cell r="F151">
            <v>10000</v>
          </cell>
          <cell r="H151">
            <v>0</v>
          </cell>
          <cell r="I151">
            <v>0</v>
          </cell>
          <cell r="J151">
            <v>30</v>
          </cell>
        </row>
        <row r="152">
          <cell r="C152" t="str">
            <v>T8 Fluo-10W</v>
          </cell>
          <cell r="F152">
            <v>480</v>
          </cell>
          <cell r="H152">
            <v>0.50352980000000003</v>
          </cell>
          <cell r="I152">
            <v>0.14124900000000001</v>
          </cell>
          <cell r="J152">
            <v>3</v>
          </cell>
        </row>
        <row r="153">
          <cell r="C153" t="str">
            <v>T8 Fluo-13W</v>
          </cell>
          <cell r="F153">
            <v>850</v>
          </cell>
          <cell r="H153">
            <v>0.49164374</v>
          </cell>
          <cell r="I153">
            <v>0.1388607</v>
          </cell>
          <cell r="J153">
            <v>3.5</v>
          </cell>
        </row>
        <row r="154">
          <cell r="C154" t="str">
            <v>T8 Fluo-14W</v>
          </cell>
          <cell r="F154">
            <v>685</v>
          </cell>
          <cell r="H154">
            <v>0.48768171999999999</v>
          </cell>
          <cell r="I154">
            <v>0.13806460000000001</v>
          </cell>
          <cell r="J154">
            <v>4</v>
          </cell>
        </row>
        <row r="155">
          <cell r="C155" t="str">
            <v>T8 Fluo-15W</v>
          </cell>
          <cell r="F155">
            <v>845</v>
          </cell>
          <cell r="H155">
            <v>0.48371969999999997</v>
          </cell>
          <cell r="I155">
            <v>0.13726850000000002</v>
          </cell>
          <cell r="J155">
            <v>4.5</v>
          </cell>
        </row>
        <row r="156">
          <cell r="C156" t="str">
            <v>T8 Fluo-17W</v>
          </cell>
          <cell r="F156">
            <v>1300</v>
          </cell>
          <cell r="H156">
            <v>0.47579566000000001</v>
          </cell>
          <cell r="I156">
            <v>0.1356763</v>
          </cell>
          <cell r="J156">
            <v>5</v>
          </cell>
        </row>
        <row r="157">
          <cell r="C157" t="str">
            <v>T8 Fluo-18W</v>
          </cell>
          <cell r="F157">
            <v>1400</v>
          </cell>
          <cell r="H157">
            <v>0.47183364</v>
          </cell>
          <cell r="I157">
            <v>0.13488020000000001</v>
          </cell>
          <cell r="J157">
            <v>5</v>
          </cell>
        </row>
        <row r="158">
          <cell r="C158" t="str">
            <v>T8 Fluo-21W</v>
          </cell>
          <cell r="F158">
            <v>1800</v>
          </cell>
          <cell r="H158">
            <v>0.45994757999999997</v>
          </cell>
          <cell r="I158">
            <v>0.1324919</v>
          </cell>
          <cell r="J158">
            <v>5.5</v>
          </cell>
        </row>
        <row r="159">
          <cell r="C159" t="str">
            <v>T8 Fluo-25W</v>
          </cell>
          <cell r="F159">
            <v>2250</v>
          </cell>
          <cell r="H159">
            <v>0.44409949999999998</v>
          </cell>
          <cell r="I159">
            <v>0.12930750000000002</v>
          </cell>
          <cell r="J159">
            <v>6</v>
          </cell>
        </row>
        <row r="160">
          <cell r="C160" t="str">
            <v>T8 Fluo-19W</v>
          </cell>
          <cell r="F160">
            <v>1275</v>
          </cell>
          <cell r="H160">
            <v>0.46787161999999993</v>
          </cell>
          <cell r="I160">
            <v>0.13408410000000001</v>
          </cell>
          <cell r="J160">
            <v>5.5</v>
          </cell>
        </row>
        <row r="161">
          <cell r="C161" t="str">
            <v>T8 Fluo-28W</v>
          </cell>
          <cell r="F161">
            <v>2800</v>
          </cell>
          <cell r="H161">
            <v>0.43221344</v>
          </cell>
          <cell r="I161">
            <v>0.12691920000000001</v>
          </cell>
          <cell r="J161">
            <v>7</v>
          </cell>
        </row>
        <row r="162">
          <cell r="C162" t="str">
            <v>T8 Fluo-30W</v>
          </cell>
          <cell r="F162">
            <v>2850</v>
          </cell>
          <cell r="H162">
            <v>0.42428940000000004</v>
          </cell>
          <cell r="I162">
            <v>0.12532700000000002</v>
          </cell>
          <cell r="J162">
            <v>9</v>
          </cell>
        </row>
        <row r="163">
          <cell r="C163" t="str">
            <v>T8 Fluo-32W</v>
          </cell>
          <cell r="F163">
            <v>2600</v>
          </cell>
          <cell r="H163">
            <v>0.41636535999999996</v>
          </cell>
          <cell r="I163">
            <v>0.12373480000000001</v>
          </cell>
          <cell r="J163">
            <v>8</v>
          </cell>
        </row>
        <row r="164">
          <cell r="C164" t="str">
            <v>T8 Fluo-36W</v>
          </cell>
          <cell r="F164">
            <v>3350</v>
          </cell>
          <cell r="H164">
            <v>0.40051728000000003</v>
          </cell>
          <cell r="I164">
            <v>0.1205504</v>
          </cell>
          <cell r="J164">
            <v>6</v>
          </cell>
        </row>
        <row r="165">
          <cell r="C165" t="str">
            <v>T8 Fluo-40W</v>
          </cell>
          <cell r="F165">
            <v>3350</v>
          </cell>
          <cell r="H165">
            <v>0.38466919999999999</v>
          </cell>
          <cell r="I165">
            <v>0.11736600000000001</v>
          </cell>
          <cell r="J165">
            <v>9</v>
          </cell>
        </row>
        <row r="166">
          <cell r="C166" t="str">
            <v>T8 Fluo-58W</v>
          </cell>
          <cell r="F166">
            <v>5200</v>
          </cell>
          <cell r="H166">
            <v>0.31335284000000002</v>
          </cell>
          <cell r="I166">
            <v>0.10303620000000001</v>
          </cell>
          <cell r="J166">
            <v>7</v>
          </cell>
        </row>
        <row r="167">
          <cell r="C167" t="str">
            <v>T8 Fluo-65W</v>
          </cell>
          <cell r="F167">
            <v>5200</v>
          </cell>
          <cell r="H167">
            <v>0.2856187</v>
          </cell>
          <cell r="I167">
            <v>9.7463500000000008E-2</v>
          </cell>
          <cell r="J167">
            <v>7</v>
          </cell>
        </row>
        <row r="168">
          <cell r="C168" t="str">
            <v>T8 Fluo-70W</v>
          </cell>
          <cell r="F168">
            <v>6300</v>
          </cell>
          <cell r="H168">
            <v>0.26580860000000001</v>
          </cell>
          <cell r="I168">
            <v>9.3483000000000011E-2</v>
          </cell>
          <cell r="J168">
            <v>10</v>
          </cell>
        </row>
        <row r="169">
          <cell r="C169" t="str">
            <v>T5 Fluo-4W</v>
          </cell>
          <cell r="F169">
            <v>135</v>
          </cell>
          <cell r="H169">
            <v>0.52730191999999998</v>
          </cell>
          <cell r="I169">
            <v>0.14602560000000001</v>
          </cell>
          <cell r="J169">
            <v>3</v>
          </cell>
        </row>
        <row r="170">
          <cell r="C170" t="str">
            <v>T5 Fluo-3W</v>
          </cell>
          <cell r="F170">
            <v>250</v>
          </cell>
          <cell r="H170">
            <v>0.53126393999999999</v>
          </cell>
          <cell r="I170">
            <v>0.1468217</v>
          </cell>
          <cell r="J170">
            <v>3</v>
          </cell>
        </row>
        <row r="171">
          <cell r="C171" t="str">
            <v>T5 Fluo-8W</v>
          </cell>
          <cell r="F171">
            <v>400</v>
          </cell>
          <cell r="H171">
            <v>0.51145383999999994</v>
          </cell>
          <cell r="I171">
            <v>0.1428412</v>
          </cell>
          <cell r="J171">
            <v>3</v>
          </cell>
        </row>
        <row r="172">
          <cell r="C172" t="str">
            <v>T5 Fluo-13W</v>
          </cell>
          <cell r="F172">
            <v>870</v>
          </cell>
          <cell r="H172">
            <v>0.49164374</v>
          </cell>
          <cell r="I172">
            <v>0.1388607</v>
          </cell>
          <cell r="J172">
            <v>4</v>
          </cell>
        </row>
        <row r="173">
          <cell r="C173" t="str">
            <v>T5 Fluo-14W</v>
          </cell>
          <cell r="F173">
            <v>1350</v>
          </cell>
          <cell r="H173">
            <v>0.48768171999999999</v>
          </cell>
          <cell r="I173">
            <v>0.13806460000000001</v>
          </cell>
          <cell r="J173">
            <v>5</v>
          </cell>
        </row>
        <row r="174">
          <cell r="C174" t="str">
            <v>T5 Fluo-21W</v>
          </cell>
          <cell r="F174">
            <v>2100</v>
          </cell>
          <cell r="H174">
            <v>0.45994757999999997</v>
          </cell>
          <cell r="I174">
            <v>0.1324919</v>
          </cell>
          <cell r="J174">
            <v>5</v>
          </cell>
        </row>
        <row r="175">
          <cell r="C175" t="str">
            <v>T5 Fluo-26W</v>
          </cell>
          <cell r="F175">
            <v>2600</v>
          </cell>
          <cell r="H175">
            <v>0.44013748000000003</v>
          </cell>
          <cell r="I175">
            <v>0.1285114</v>
          </cell>
          <cell r="J175">
            <v>8</v>
          </cell>
        </row>
        <row r="176">
          <cell r="C176" t="str">
            <v>T5 Fluo-28W</v>
          </cell>
          <cell r="F176">
            <v>2900</v>
          </cell>
          <cell r="H176">
            <v>0.43221344</v>
          </cell>
          <cell r="I176">
            <v>0.12691920000000001</v>
          </cell>
          <cell r="J176">
            <v>6</v>
          </cell>
        </row>
        <row r="177">
          <cell r="C177" t="str">
            <v>T5 Fluo-35W</v>
          </cell>
          <cell r="F177">
            <v>3650</v>
          </cell>
          <cell r="H177">
            <v>0.40447929999999999</v>
          </cell>
          <cell r="I177">
            <v>0.12134650000000001</v>
          </cell>
          <cell r="J177">
            <v>9</v>
          </cell>
        </row>
        <row r="178">
          <cell r="C178" t="str">
            <v>T5 Fluo-24W</v>
          </cell>
          <cell r="F178">
            <v>2000</v>
          </cell>
          <cell r="H178">
            <v>0.44806151999999999</v>
          </cell>
          <cell r="I178">
            <v>0.13010360000000001</v>
          </cell>
          <cell r="J178">
            <v>7</v>
          </cell>
        </row>
        <row r="179">
          <cell r="C179" t="str">
            <v>T5 Fluo-39W</v>
          </cell>
          <cell r="F179">
            <v>3500</v>
          </cell>
          <cell r="H179">
            <v>0.38863122</v>
          </cell>
          <cell r="I179">
            <v>0.11816210000000001</v>
          </cell>
          <cell r="J179">
            <v>7</v>
          </cell>
        </row>
        <row r="180">
          <cell r="C180" t="str">
            <v>T5 Fluo-54W</v>
          </cell>
          <cell r="F180">
            <v>5000</v>
          </cell>
          <cell r="H180">
            <v>0.32920092000000001</v>
          </cell>
          <cell r="I180">
            <v>0.10622060000000001</v>
          </cell>
          <cell r="J180">
            <v>7</v>
          </cell>
        </row>
        <row r="181">
          <cell r="C181" t="str">
            <v>T5 Fluo-80W</v>
          </cell>
          <cell r="F181">
            <v>7000</v>
          </cell>
          <cell r="H181">
            <v>0.22618840000000001</v>
          </cell>
          <cell r="I181">
            <v>8.5522000000000015E-2</v>
          </cell>
          <cell r="J181">
            <v>10</v>
          </cell>
        </row>
        <row r="182">
          <cell r="C182" t="str">
            <v>PI2_CFL-5W</v>
          </cell>
          <cell r="F182">
            <v>250</v>
          </cell>
          <cell r="H182">
            <v>0.30784699999999998</v>
          </cell>
          <cell r="I182">
            <v>0.14522950000000001</v>
          </cell>
          <cell r="J182">
            <v>3.5</v>
          </cell>
        </row>
        <row r="183">
          <cell r="C183" t="str">
            <v>PI2_CFL-7W</v>
          </cell>
          <cell r="F183">
            <v>400</v>
          </cell>
          <cell r="H183">
            <v>0.30318580000000001</v>
          </cell>
          <cell r="I183">
            <v>0.14363730000000002</v>
          </cell>
          <cell r="J183">
            <v>4</v>
          </cell>
        </row>
        <row r="184">
          <cell r="C184" t="str">
            <v>PI2_CFL-9W</v>
          </cell>
          <cell r="F184">
            <v>600</v>
          </cell>
          <cell r="H184">
            <v>0.29852460000000003</v>
          </cell>
          <cell r="I184">
            <v>0.14204510000000001</v>
          </cell>
          <cell r="J184">
            <v>5.6</v>
          </cell>
        </row>
        <row r="185">
          <cell r="C185" t="str">
            <v>PI2_CFL-13W</v>
          </cell>
          <cell r="F185">
            <v>900</v>
          </cell>
          <cell r="H185">
            <v>0.28920220000000002</v>
          </cell>
          <cell r="I185">
            <v>0.1388607</v>
          </cell>
          <cell r="J185">
            <v>5.5</v>
          </cell>
        </row>
        <row r="186">
          <cell r="C186" t="str">
            <v>PI2_CFL-18W</v>
          </cell>
          <cell r="F186">
            <v>1200</v>
          </cell>
          <cell r="H186">
            <v>0.2775492</v>
          </cell>
          <cell r="I186">
            <v>0.13488020000000001</v>
          </cell>
          <cell r="J186">
            <v>6</v>
          </cell>
        </row>
        <row r="187">
          <cell r="C187" t="str">
            <v>PI2_CFL-22W</v>
          </cell>
          <cell r="F187">
            <v>1300</v>
          </cell>
          <cell r="H187">
            <v>0.26822679999999999</v>
          </cell>
          <cell r="I187">
            <v>0.1316958</v>
          </cell>
          <cell r="J187">
            <v>6.5</v>
          </cell>
        </row>
        <row r="188">
          <cell r="C188" t="str">
            <v>PI2_CFL-26W</v>
          </cell>
          <cell r="F188">
            <v>1800</v>
          </cell>
          <cell r="H188">
            <v>0.25890440000000003</v>
          </cell>
          <cell r="I188">
            <v>0.1285114</v>
          </cell>
          <cell r="J188">
            <v>7</v>
          </cell>
        </row>
        <row r="189">
          <cell r="C189" t="str">
            <v>PI2_CFL-28W</v>
          </cell>
          <cell r="F189">
            <v>1600</v>
          </cell>
          <cell r="H189">
            <v>0.2542432</v>
          </cell>
          <cell r="I189">
            <v>0.12691920000000001</v>
          </cell>
          <cell r="J189">
            <v>7</v>
          </cell>
        </row>
        <row r="190">
          <cell r="C190" t="str">
            <v>PI4_CFL-7W</v>
          </cell>
          <cell r="F190">
            <v>400</v>
          </cell>
          <cell r="H190">
            <v>0.30318580000000001</v>
          </cell>
          <cell r="I190">
            <v>0.14363730000000002</v>
          </cell>
          <cell r="J190">
            <v>5</v>
          </cell>
        </row>
        <row r="191">
          <cell r="C191" t="str">
            <v>PI4_CFL-9W</v>
          </cell>
          <cell r="F191">
            <v>600</v>
          </cell>
          <cell r="H191">
            <v>0.29852460000000003</v>
          </cell>
          <cell r="I191">
            <v>0.14204510000000001</v>
          </cell>
          <cell r="J191">
            <v>5.5</v>
          </cell>
        </row>
        <row r="192">
          <cell r="C192" t="str">
            <v>PI4_CFL-12W</v>
          </cell>
          <cell r="F192">
            <v>800</v>
          </cell>
          <cell r="H192">
            <v>0.29153280000000004</v>
          </cell>
          <cell r="I192">
            <v>0.1396568</v>
          </cell>
          <cell r="J192">
            <v>5.8</v>
          </cell>
        </row>
        <row r="193">
          <cell r="C193" t="str">
            <v>PI4_CFL-13W</v>
          </cell>
          <cell r="F193">
            <v>1000</v>
          </cell>
          <cell r="H193">
            <v>0.28920220000000002</v>
          </cell>
          <cell r="I193">
            <v>0.1388607</v>
          </cell>
          <cell r="J193">
            <v>5.9</v>
          </cell>
        </row>
        <row r="194">
          <cell r="C194" t="str">
            <v>PI4_CFL-18W</v>
          </cell>
          <cell r="F194">
            <v>1200</v>
          </cell>
          <cell r="H194">
            <v>0.2775492</v>
          </cell>
          <cell r="I194">
            <v>0.13488020000000001</v>
          </cell>
          <cell r="J194">
            <v>6</v>
          </cell>
        </row>
        <row r="195">
          <cell r="C195" t="str">
            <v>PI4_CFL-21W</v>
          </cell>
          <cell r="F195">
            <v>1550</v>
          </cell>
          <cell r="H195">
            <v>0.2705574</v>
          </cell>
          <cell r="I195">
            <v>0.1324919</v>
          </cell>
          <cell r="J195">
            <v>6</v>
          </cell>
        </row>
        <row r="196">
          <cell r="C196" t="str">
            <v>PI4_CFL-24W</v>
          </cell>
          <cell r="F196">
            <v>1800</v>
          </cell>
          <cell r="H196">
            <v>0.26356560000000001</v>
          </cell>
          <cell r="I196">
            <v>0.13010360000000001</v>
          </cell>
          <cell r="J196">
            <v>6.5</v>
          </cell>
        </row>
        <row r="197">
          <cell r="C197" t="str">
            <v>PI4_CFL-25W</v>
          </cell>
          <cell r="F197">
            <v>2600</v>
          </cell>
          <cell r="H197">
            <v>0.26123499999999999</v>
          </cell>
          <cell r="I197">
            <v>0.12930750000000002</v>
          </cell>
          <cell r="J197">
            <v>6.5</v>
          </cell>
        </row>
        <row r="198">
          <cell r="C198" t="str">
            <v>PI4_CFL-26W</v>
          </cell>
          <cell r="F198">
            <v>1800</v>
          </cell>
          <cell r="H198">
            <v>0.25890440000000003</v>
          </cell>
          <cell r="I198">
            <v>0.1285114</v>
          </cell>
          <cell r="J198">
            <v>7</v>
          </cell>
        </row>
        <row r="199">
          <cell r="C199" t="str">
            <v>PI4_CFL-27W</v>
          </cell>
          <cell r="F199">
            <v>1400</v>
          </cell>
          <cell r="H199">
            <v>0.25657380000000002</v>
          </cell>
          <cell r="I199">
            <v>0.1277153</v>
          </cell>
          <cell r="J199">
            <v>7</v>
          </cell>
        </row>
        <row r="200">
          <cell r="C200" t="str">
            <v>PI4_CFL-28W</v>
          </cell>
          <cell r="F200">
            <v>2750</v>
          </cell>
          <cell r="H200">
            <v>0.2542432</v>
          </cell>
          <cell r="I200">
            <v>0.12691920000000001</v>
          </cell>
          <cell r="J200">
            <v>7.5</v>
          </cell>
        </row>
        <row r="201">
          <cell r="C201" t="str">
            <v>PI4_CFL-32W</v>
          </cell>
          <cell r="F201">
            <v>2400</v>
          </cell>
          <cell r="H201">
            <v>0.24492079999999999</v>
          </cell>
          <cell r="I201">
            <v>0.12373480000000001</v>
          </cell>
          <cell r="J201">
            <v>8</v>
          </cell>
        </row>
        <row r="202">
          <cell r="C202" t="str">
            <v>PI4_CFL-36W</v>
          </cell>
          <cell r="F202">
            <v>2900</v>
          </cell>
          <cell r="H202">
            <v>0.23559840000000001</v>
          </cell>
          <cell r="I202">
            <v>0.1205504</v>
          </cell>
          <cell r="J202">
            <v>8.5</v>
          </cell>
        </row>
        <row r="203">
          <cell r="C203" t="str">
            <v>PI4_CFL-40W</v>
          </cell>
          <cell r="F203">
            <v>3150</v>
          </cell>
          <cell r="H203">
            <v>0.226276</v>
          </cell>
          <cell r="I203">
            <v>0.11736600000000001</v>
          </cell>
          <cell r="J203">
            <v>9</v>
          </cell>
        </row>
        <row r="204">
          <cell r="C204" t="str">
            <v>PI4_CFL-42W</v>
          </cell>
          <cell r="F204">
            <v>3200</v>
          </cell>
          <cell r="H204">
            <v>0.2216148</v>
          </cell>
          <cell r="I204">
            <v>0.11577380000000001</v>
          </cell>
          <cell r="J204">
            <v>9</v>
          </cell>
        </row>
        <row r="205">
          <cell r="C205" t="str">
            <v>PI4_CFL-50W</v>
          </cell>
          <cell r="F205">
            <v>4000</v>
          </cell>
          <cell r="H205">
            <v>0.20297000000000001</v>
          </cell>
          <cell r="I205">
            <v>0.109405</v>
          </cell>
          <cell r="J205">
            <v>9.5</v>
          </cell>
        </row>
        <row r="206">
          <cell r="C206" t="str">
            <v>PI4_CFL-55W</v>
          </cell>
          <cell r="F206">
            <v>4800</v>
          </cell>
          <cell r="H206">
            <v>0.19131700000000001</v>
          </cell>
          <cell r="I206">
            <v>0.1054245</v>
          </cell>
          <cell r="J206">
            <v>10</v>
          </cell>
        </row>
        <row r="207">
          <cell r="C207" t="str">
            <v>PI4_CFL-57W</v>
          </cell>
          <cell r="F207">
            <v>4300</v>
          </cell>
          <cell r="H207">
            <v>0.18665580000000001</v>
          </cell>
          <cell r="I207">
            <v>0.10383230000000002</v>
          </cell>
          <cell r="J207">
            <v>10</v>
          </cell>
        </row>
        <row r="208">
          <cell r="C208" t="str">
            <v>PI4_CFL-70W</v>
          </cell>
          <cell r="F208">
            <v>5200</v>
          </cell>
          <cell r="H208">
            <v>0.156358</v>
          </cell>
          <cell r="I208">
            <v>9.3483000000000011E-2</v>
          </cell>
          <cell r="J208">
            <v>15</v>
          </cell>
        </row>
        <row r="209">
          <cell r="C209" t="str">
            <v>PI4_SQUARE_CFL-16W</v>
          </cell>
          <cell r="F209">
            <v>1000</v>
          </cell>
          <cell r="H209">
            <v>0.28221040000000003</v>
          </cell>
          <cell r="I209">
            <v>0.13647240000000002</v>
          </cell>
          <cell r="J209">
            <v>6</v>
          </cell>
        </row>
        <row r="210">
          <cell r="C210" t="str">
            <v>PI4_SQUARE_CFL-21W</v>
          </cell>
          <cell r="F210">
            <v>1350</v>
          </cell>
          <cell r="H210">
            <v>0.2705574</v>
          </cell>
          <cell r="I210">
            <v>0.1324919</v>
          </cell>
          <cell r="J210">
            <v>10</v>
          </cell>
        </row>
        <row r="211">
          <cell r="C211" t="str">
            <v>PI4_SQUARE_CFL-28W</v>
          </cell>
          <cell r="F211">
            <v>2000</v>
          </cell>
          <cell r="H211">
            <v>0.2542432</v>
          </cell>
          <cell r="I211">
            <v>0.12691920000000001</v>
          </cell>
          <cell r="J211">
            <v>8</v>
          </cell>
        </row>
        <row r="212">
          <cell r="C212" t="str">
            <v>PI4_SQUARE_CFL-38W</v>
          </cell>
          <cell r="F212">
            <v>2800</v>
          </cell>
          <cell r="H212">
            <v>0.23093720000000001</v>
          </cell>
          <cell r="I212">
            <v>0.11895820000000001</v>
          </cell>
          <cell r="J212">
            <v>9</v>
          </cell>
        </row>
        <row r="213">
          <cell r="C213" t="str">
            <v>MH-50W</v>
          </cell>
          <cell r="F213">
            <v>3400</v>
          </cell>
          <cell r="H213">
            <v>0.38</v>
          </cell>
          <cell r="I213">
            <v>0.12</v>
          </cell>
          <cell r="J213">
            <v>10</v>
          </cell>
        </row>
        <row r="214">
          <cell r="C214" t="str">
            <v>MH-70W</v>
          </cell>
          <cell r="F214">
            <v>5200</v>
          </cell>
          <cell r="H214">
            <v>0.34285714285714286</v>
          </cell>
          <cell r="I214">
            <v>0.11428571428571428</v>
          </cell>
          <cell r="J214">
            <v>15</v>
          </cell>
        </row>
        <row r="215">
          <cell r="C215" t="str">
            <v>MH-100W</v>
          </cell>
          <cell r="F215">
            <v>8500</v>
          </cell>
          <cell r="H215">
            <v>0.25</v>
          </cell>
          <cell r="I215">
            <v>0.1</v>
          </cell>
          <cell r="J215">
            <v>18</v>
          </cell>
        </row>
        <row r="216">
          <cell r="C216" t="str">
            <v>MH-150W</v>
          </cell>
          <cell r="F216">
            <v>12900</v>
          </cell>
          <cell r="H216">
            <v>0.23333333333333334</v>
          </cell>
          <cell r="I216">
            <v>9.3333333333333338E-2</v>
          </cell>
          <cell r="J216">
            <v>20</v>
          </cell>
        </row>
        <row r="217">
          <cell r="C217" t="str">
            <v>MH-175W</v>
          </cell>
          <cell r="F217">
            <v>14000</v>
          </cell>
          <cell r="H217">
            <v>0.22857142857142856</v>
          </cell>
          <cell r="I217" t="str">
            <v>/</v>
          </cell>
          <cell r="J217">
            <v>22</v>
          </cell>
        </row>
        <row r="218">
          <cell r="C218" t="str">
            <v>MH-250W</v>
          </cell>
          <cell r="F218">
            <v>22000</v>
          </cell>
          <cell r="H218">
            <v>0.16</v>
          </cell>
          <cell r="I218" t="str">
            <v>/</v>
          </cell>
          <cell r="J218">
            <v>15</v>
          </cell>
        </row>
        <row r="219">
          <cell r="C219" t="str">
            <v>MH-330W</v>
          </cell>
          <cell r="F219">
            <v>33000</v>
          </cell>
          <cell r="H219">
            <v>0.1525</v>
          </cell>
          <cell r="I219" t="str">
            <v>/</v>
          </cell>
          <cell r="J219">
            <v>50</v>
          </cell>
        </row>
        <row r="220">
          <cell r="C220" t="str">
            <v>MH-400W</v>
          </cell>
          <cell r="F220">
            <v>36000</v>
          </cell>
          <cell r="H220">
            <v>0.14499999999999999</v>
          </cell>
          <cell r="I220" t="str">
            <v>/</v>
          </cell>
          <cell r="J220">
            <v>40</v>
          </cell>
        </row>
        <row r="221">
          <cell r="C221" t="str">
            <v>MH-1000W</v>
          </cell>
          <cell r="F221">
            <v>110000</v>
          </cell>
          <cell r="H221">
            <v>0.08</v>
          </cell>
          <cell r="I221" t="str">
            <v>/</v>
          </cell>
          <cell r="J221">
            <v>50</v>
          </cell>
        </row>
        <row r="222">
          <cell r="C222" t="str">
            <v>MH-1500W</v>
          </cell>
          <cell r="F222">
            <v>165000</v>
          </cell>
          <cell r="H222">
            <v>7.0000000000000007E-2</v>
          </cell>
          <cell r="I222" t="str">
            <v>/</v>
          </cell>
          <cell r="J222">
            <v>70</v>
          </cell>
        </row>
        <row r="223">
          <cell r="C223" t="str">
            <v>HPS-35W</v>
          </cell>
          <cell r="F223">
            <v>2250</v>
          </cell>
          <cell r="H223">
            <v>0.2857142857142857</v>
          </cell>
          <cell r="I223" t="str">
            <v>/</v>
          </cell>
          <cell r="J223"/>
        </row>
        <row r="224">
          <cell r="C224" t="str">
            <v>HPS-50W</v>
          </cell>
          <cell r="F224">
            <v>4000</v>
          </cell>
          <cell r="H224">
            <v>0.32</v>
          </cell>
          <cell r="I224" t="str">
            <v>/</v>
          </cell>
          <cell r="J224"/>
        </row>
        <row r="225">
          <cell r="C225" t="str">
            <v>HPS-70W</v>
          </cell>
          <cell r="F225">
            <v>6300</v>
          </cell>
          <cell r="H225">
            <v>0.2857142857142857</v>
          </cell>
          <cell r="I225" t="str">
            <v>/</v>
          </cell>
          <cell r="J225"/>
        </row>
        <row r="226">
          <cell r="C226" t="str">
            <v>HPS-100W</v>
          </cell>
          <cell r="F226">
            <v>9500</v>
          </cell>
          <cell r="H226">
            <v>0.26</v>
          </cell>
          <cell r="I226" t="str">
            <v>/</v>
          </cell>
          <cell r="J226"/>
        </row>
        <row r="227">
          <cell r="C227" t="str">
            <v>HPS-150W</v>
          </cell>
          <cell r="F227">
            <v>16000</v>
          </cell>
          <cell r="H227">
            <v>0.25333333333333335</v>
          </cell>
          <cell r="I227" t="str">
            <v>/</v>
          </cell>
          <cell r="J227"/>
        </row>
        <row r="228">
          <cell r="C228" t="str">
            <v>HPS-200W</v>
          </cell>
          <cell r="F228">
            <v>22000</v>
          </cell>
          <cell r="H228">
            <v>0.15</v>
          </cell>
          <cell r="I228" t="str">
            <v>/</v>
          </cell>
          <cell r="J228"/>
        </row>
        <row r="229">
          <cell r="C229" t="str">
            <v>HPS-250W</v>
          </cell>
          <cell r="F229">
            <v>29000</v>
          </cell>
          <cell r="H229">
            <v>0.18</v>
          </cell>
          <cell r="I229" t="str">
            <v>/</v>
          </cell>
          <cell r="J229"/>
        </row>
        <row r="230">
          <cell r="C230" t="str">
            <v>HPS-400W</v>
          </cell>
          <cell r="F230">
            <v>51000</v>
          </cell>
          <cell r="H230">
            <v>0.15</v>
          </cell>
          <cell r="I230" t="str">
            <v>/</v>
          </cell>
          <cell r="J230"/>
        </row>
        <row r="231">
          <cell r="C231" t="str">
            <v>HPS-600W</v>
          </cell>
          <cell r="F231">
            <v>96000</v>
          </cell>
          <cell r="H231">
            <v>0.12833333333333333</v>
          </cell>
          <cell r="I231" t="str">
            <v>/</v>
          </cell>
          <cell r="J231"/>
        </row>
        <row r="232">
          <cell r="C232" t="str">
            <v>HPS-750W</v>
          </cell>
          <cell r="F232">
            <v>110000</v>
          </cell>
          <cell r="H232">
            <v>0.10666666666666667</v>
          </cell>
          <cell r="I232" t="str">
            <v>/</v>
          </cell>
          <cell r="J232"/>
        </row>
        <row r="233">
          <cell r="C233" t="str">
            <v>HPS-1000W</v>
          </cell>
          <cell r="F233">
            <v>130000</v>
          </cell>
          <cell r="H233">
            <v>0.1</v>
          </cell>
          <cell r="I233" t="str">
            <v>/</v>
          </cell>
          <cell r="J233"/>
        </row>
        <row r="234">
          <cell r="C234" t="str">
            <v>MV-50W</v>
          </cell>
          <cell r="F234">
            <v>1150</v>
          </cell>
          <cell r="H234">
            <v>0.32</v>
          </cell>
          <cell r="I234" t="str">
            <v>/</v>
          </cell>
          <cell r="J234"/>
        </row>
        <row r="235">
          <cell r="C235" t="str">
            <v>MV-100W</v>
          </cell>
          <cell r="F235">
            <v>4100</v>
          </cell>
          <cell r="H235">
            <v>0.26</v>
          </cell>
          <cell r="I235" t="str">
            <v>/</v>
          </cell>
          <cell r="J235"/>
        </row>
        <row r="236">
          <cell r="C236" t="str">
            <v>MV-175W</v>
          </cell>
          <cell r="F236">
            <v>7350</v>
          </cell>
          <cell r="H236">
            <v>0.25333333333333335</v>
          </cell>
          <cell r="I236" t="str">
            <v>/</v>
          </cell>
          <cell r="J236"/>
        </row>
        <row r="237">
          <cell r="C237" t="str">
            <v>MV-250W</v>
          </cell>
          <cell r="F237">
            <v>12500</v>
          </cell>
          <cell r="H237">
            <v>0.18</v>
          </cell>
          <cell r="I237" t="str">
            <v>/</v>
          </cell>
          <cell r="J237"/>
        </row>
        <row r="238">
          <cell r="C238" t="str">
            <v>MV-400W</v>
          </cell>
          <cell r="F238">
            <v>20000</v>
          </cell>
          <cell r="H238">
            <v>0.15</v>
          </cell>
          <cell r="I238" t="str">
            <v>/</v>
          </cell>
          <cell r="J238"/>
        </row>
        <row r="239">
          <cell r="C239" t="str">
            <v>MV-1000W</v>
          </cell>
          <cell r="F239">
            <v>58000</v>
          </cell>
          <cell r="H239">
            <v>0.1</v>
          </cell>
          <cell r="I239" t="str">
            <v>/</v>
          </cell>
          <cell r="J239"/>
        </row>
        <row r="240">
          <cell r="C240" t="str">
            <v>LED-9W</v>
          </cell>
          <cell r="F240">
            <v>1000</v>
          </cell>
          <cell r="H240">
            <v>0</v>
          </cell>
          <cell r="I240">
            <v>0</v>
          </cell>
          <cell r="J240"/>
        </row>
        <row r="241">
          <cell r="C241" t="str">
            <v>LED-5W</v>
          </cell>
          <cell r="F241">
            <v>600</v>
          </cell>
          <cell r="H241">
            <v>0</v>
          </cell>
          <cell r="I241">
            <v>0</v>
          </cell>
          <cell r="J241"/>
        </row>
        <row r="242">
          <cell r="C242" t="str">
            <v>LED-14W</v>
          </cell>
          <cell r="F242">
            <v>1600</v>
          </cell>
          <cell r="H242">
            <v>0</v>
          </cell>
          <cell r="I242">
            <v>0</v>
          </cell>
          <cell r="J242"/>
        </row>
        <row r="243">
          <cell r="C243" t="str">
            <v>LED-0W</v>
          </cell>
          <cell r="F243">
            <v>0</v>
          </cell>
          <cell r="H243">
            <v>0</v>
          </cell>
          <cell r="I243">
            <v>0</v>
          </cell>
          <cell r="J243"/>
        </row>
        <row r="244">
          <cell r="C244" t="str">
            <v>LED-0W</v>
          </cell>
          <cell r="F244">
            <v>0</v>
          </cell>
          <cell r="H244">
            <v>0</v>
          </cell>
          <cell r="I244">
            <v>0</v>
          </cell>
          <cell r="J244"/>
        </row>
        <row r="245">
          <cell r="C245" t="str">
            <v>LED-0W</v>
          </cell>
          <cell r="F245">
            <v>0</v>
          </cell>
          <cell r="H245">
            <v>0</v>
          </cell>
          <cell r="I245">
            <v>0</v>
          </cell>
          <cell r="J245"/>
        </row>
        <row r="246">
          <cell r="C246" t="str">
            <v>LED-0W</v>
          </cell>
          <cell r="F246">
            <v>0</v>
          </cell>
          <cell r="H246">
            <v>0</v>
          </cell>
          <cell r="I246">
            <v>0</v>
          </cell>
          <cell r="J246"/>
        </row>
        <row r="247">
          <cell r="C247" t="str">
            <v>LED-0W</v>
          </cell>
          <cell r="F247">
            <v>0</v>
          </cell>
          <cell r="H247">
            <v>0</v>
          </cell>
          <cell r="I247">
            <v>0</v>
          </cell>
          <cell r="J247"/>
        </row>
        <row r="248">
          <cell r="C248" t="str">
            <v>LED-0W</v>
          </cell>
          <cell r="F248">
            <v>0</v>
          </cell>
          <cell r="H248">
            <v>0</v>
          </cell>
          <cell r="I248">
            <v>0</v>
          </cell>
          <cell r="J248"/>
        </row>
        <row r="249">
          <cell r="C249" t="str">
            <v>LED-0W</v>
          </cell>
          <cell r="F249">
            <v>0</v>
          </cell>
          <cell r="H249">
            <v>0</v>
          </cell>
          <cell r="I249">
            <v>0</v>
          </cell>
          <cell r="J249"/>
        </row>
        <row r="250">
          <cell r="C250" t="str">
            <v>LED-0W</v>
          </cell>
          <cell r="F250">
            <v>0</v>
          </cell>
          <cell r="H250">
            <v>0</v>
          </cell>
          <cell r="I250">
            <v>0</v>
          </cell>
          <cell r="J250"/>
        </row>
        <row r="251">
          <cell r="C251" t="str">
            <v>LED-0W</v>
          </cell>
          <cell r="F251">
            <v>0</v>
          </cell>
          <cell r="H251">
            <v>0</v>
          </cell>
          <cell r="I251">
            <v>0</v>
          </cell>
          <cell r="J251"/>
        </row>
        <row r="258">
          <cell r="C258" t="str">
            <v>DISANO 841 Minicomfort LED R-37W</v>
          </cell>
          <cell r="F258">
            <v>37</v>
          </cell>
          <cell r="G258">
            <v>4093</v>
          </cell>
          <cell r="H258">
            <v>80000</v>
          </cell>
          <cell r="I258">
            <v>153</v>
          </cell>
          <cell r="J258">
            <v>68.850000000000009</v>
          </cell>
        </row>
        <row r="259">
          <cell r="C259" t="str">
            <v>DISANO 841 Minicomfort 2+2xLED R -37W</v>
          </cell>
          <cell r="F259">
            <v>37</v>
          </cell>
          <cell r="G259">
            <v>4093</v>
          </cell>
          <cell r="H259">
            <v>80000</v>
          </cell>
          <cell r="I259">
            <v>177</v>
          </cell>
          <cell r="J259">
            <v>79.650000000000006</v>
          </cell>
        </row>
        <row r="260">
          <cell r="C260" t="str">
            <v>DISANO 841 Minicomfort 2xLED CLD CELL-D-D-19W</v>
          </cell>
          <cell r="F260">
            <v>19</v>
          </cell>
          <cell r="G260">
            <v>2046</v>
          </cell>
          <cell r="H260">
            <v>80000</v>
          </cell>
          <cell r="I260">
            <v>144</v>
          </cell>
          <cell r="J260">
            <v>64.8</v>
          </cell>
        </row>
        <row r="261">
          <cell r="C261" t="str">
            <v>DISANO 841 Minicomfort 3xLED CLD CELL-D-D-28W</v>
          </cell>
          <cell r="F261">
            <v>28</v>
          </cell>
          <cell r="G261">
            <v>3069</v>
          </cell>
          <cell r="H261">
            <v>80000</v>
          </cell>
          <cell r="I261">
            <v>172</v>
          </cell>
          <cell r="J261">
            <v>77.400000000000006</v>
          </cell>
        </row>
        <row r="262">
          <cell r="C262" t="str">
            <v>DISANO 841 Minicomfort 4xLED CLD CELL-D-D-37W</v>
          </cell>
          <cell r="F262">
            <v>37</v>
          </cell>
          <cell r="G262">
            <v>4096</v>
          </cell>
          <cell r="H262">
            <v>80000</v>
          </cell>
          <cell r="I262">
            <v>191</v>
          </cell>
          <cell r="J262">
            <v>85.95</v>
          </cell>
        </row>
        <row r="263">
          <cell r="C263" t="str">
            <v>DISANO 842 Led Panel -33W</v>
          </cell>
          <cell r="F263">
            <v>33</v>
          </cell>
          <cell r="G263">
            <v>3600</v>
          </cell>
          <cell r="H263">
            <v>50000</v>
          </cell>
          <cell r="I263">
            <v>60</v>
          </cell>
          <cell r="J263">
            <v>27</v>
          </cell>
        </row>
        <row r="264">
          <cell r="C264" t="str">
            <v>DISANO 842 Led Panel R-33W</v>
          </cell>
          <cell r="F264">
            <v>33</v>
          </cell>
          <cell r="G264">
            <v>3600</v>
          </cell>
          <cell r="H264">
            <v>50000</v>
          </cell>
          <cell r="I264">
            <v>70</v>
          </cell>
          <cell r="J264">
            <v>31.5</v>
          </cell>
        </row>
        <row r="265">
          <cell r="C265" t="str">
            <v>FOSNOVA EcoLex 2 CLD CELL-14W</v>
          </cell>
          <cell r="F265">
            <v>14</v>
          </cell>
          <cell r="G265">
            <v>1380</v>
          </cell>
          <cell r="H265">
            <v>40000</v>
          </cell>
          <cell r="I265">
            <v>65</v>
          </cell>
          <cell r="J265">
            <v>29.25</v>
          </cell>
        </row>
        <row r="266">
          <cell r="C266" t="str">
            <v>FOSNOVA EcoLex 3 CLD CELL-21W</v>
          </cell>
          <cell r="F266">
            <v>21</v>
          </cell>
          <cell r="G266">
            <v>2190</v>
          </cell>
          <cell r="H266">
            <v>40000</v>
          </cell>
          <cell r="I266">
            <v>70</v>
          </cell>
          <cell r="J266">
            <v>31.5</v>
          </cell>
        </row>
        <row r="267">
          <cell r="C267" t="str">
            <v>FOSNOVA EcoLex 4 CLD CELL-32W</v>
          </cell>
          <cell r="F267">
            <v>32</v>
          </cell>
          <cell r="G267">
            <v>3318</v>
          </cell>
          <cell r="H267">
            <v>40000</v>
          </cell>
          <cell r="I267">
            <v>99</v>
          </cell>
          <cell r="J267">
            <v>44.550000000000004</v>
          </cell>
        </row>
        <row r="268">
          <cell r="C268" t="str">
            <v>DISANO 731 Minicomfort LED R -37W</v>
          </cell>
          <cell r="F268">
            <v>37</v>
          </cell>
          <cell r="G268">
            <v>4093</v>
          </cell>
          <cell r="H268">
            <v>80000</v>
          </cell>
          <cell r="I268">
            <v>212</v>
          </cell>
          <cell r="J268">
            <v>95.4</v>
          </cell>
        </row>
        <row r="269">
          <cell r="C269" t="str">
            <v>DISANO 731 Minicomfort 2xLED CLD CELL-D-D-19W</v>
          </cell>
          <cell r="F269">
            <v>19</v>
          </cell>
          <cell r="G269">
            <v>2046</v>
          </cell>
          <cell r="H269">
            <v>80000</v>
          </cell>
          <cell r="I269">
            <v>241</v>
          </cell>
          <cell r="J269">
            <v>108.45</v>
          </cell>
        </row>
        <row r="270">
          <cell r="C270" t="str">
            <v>DISANO 731 Minicomfort 3xLED CLD CELL-D-D-28W</v>
          </cell>
          <cell r="F270">
            <v>28</v>
          </cell>
          <cell r="G270">
            <v>3069</v>
          </cell>
          <cell r="H270">
            <v>80000</v>
          </cell>
          <cell r="I270">
            <v>225</v>
          </cell>
          <cell r="J270">
            <v>101.25</v>
          </cell>
        </row>
        <row r="271">
          <cell r="C271" t="str">
            <v>DISANO 731 Minicomfort 4xLED CLD CELL-D-D-37W</v>
          </cell>
          <cell r="F271">
            <v>37</v>
          </cell>
          <cell r="G271">
            <v>4093</v>
          </cell>
          <cell r="H271">
            <v>80000</v>
          </cell>
          <cell r="I271">
            <v>275</v>
          </cell>
          <cell r="J271">
            <v>123.75</v>
          </cell>
        </row>
        <row r="272">
          <cell r="C272" t="str">
            <v>DISANO 744 Led Panel -33W</v>
          </cell>
          <cell r="F272">
            <v>33</v>
          </cell>
          <cell r="G272">
            <v>3600</v>
          </cell>
          <cell r="H272">
            <v>50000</v>
          </cell>
          <cell r="I272">
            <v>134</v>
          </cell>
          <cell r="J272">
            <v>60.300000000000004</v>
          </cell>
        </row>
        <row r="273">
          <cell r="C273" t="str">
            <v>DISANO 744 Led Panel R-33W</v>
          </cell>
          <cell r="F273">
            <v>33</v>
          </cell>
          <cell r="G273">
            <v>3600</v>
          </cell>
          <cell r="H273">
            <v>50000</v>
          </cell>
          <cell r="I273">
            <v>145</v>
          </cell>
          <cell r="J273">
            <v>65.25</v>
          </cell>
        </row>
        <row r="274">
          <cell r="C274" t="str">
            <v>DISANO 6000 Rapid L=4700mm (komplet)-110W</v>
          </cell>
          <cell r="F274">
            <v>110</v>
          </cell>
          <cell r="G274">
            <v>12068</v>
          </cell>
          <cell r="H274">
            <v>50000</v>
          </cell>
          <cell r="I274">
            <v>398</v>
          </cell>
          <cell r="J274">
            <v>179.1</v>
          </cell>
        </row>
        <row r="275">
          <cell r="C275" t="str">
            <v>DISANO 6000 Rapid L=3260mm (komplet)-73W</v>
          </cell>
          <cell r="F275">
            <v>73</v>
          </cell>
          <cell r="G275">
            <v>8044</v>
          </cell>
          <cell r="H275">
            <v>50000</v>
          </cell>
          <cell r="I275">
            <v>266</v>
          </cell>
          <cell r="J275">
            <v>119.7</v>
          </cell>
        </row>
        <row r="276">
          <cell r="C276" t="str">
            <v>FOSNOVA Boxy Small -33W</v>
          </cell>
          <cell r="F276">
            <v>33</v>
          </cell>
          <cell r="G276">
            <v>2580</v>
          </cell>
          <cell r="H276">
            <v>35000</v>
          </cell>
          <cell r="I276">
            <v>167.06666666666666</v>
          </cell>
          <cell r="J276">
            <v>75.180000000000007</v>
          </cell>
        </row>
        <row r="277">
          <cell r="C277" t="str">
            <v>FOSNOVA Boxy Big  -35W</v>
          </cell>
          <cell r="F277">
            <v>35</v>
          </cell>
          <cell r="G277">
            <v>3200</v>
          </cell>
          <cell r="H277">
            <v>35000</v>
          </cell>
          <cell r="I277">
            <v>185.73333333333335</v>
          </cell>
          <cell r="J277">
            <v>83.580000000000013</v>
          </cell>
        </row>
        <row r="278">
          <cell r="C278" t="str">
            <v>DISANO 962 Hydro LED, Energy saving  -36W</v>
          </cell>
          <cell r="F278">
            <v>36</v>
          </cell>
          <cell r="G278">
            <v>5187</v>
          </cell>
          <cell r="H278">
            <v>50000</v>
          </cell>
          <cell r="I278">
            <v>90</v>
          </cell>
          <cell r="J278">
            <v>40.5</v>
          </cell>
        </row>
        <row r="279">
          <cell r="C279" t="str">
            <v>DISANO 962 Hydro LED, Energy saving  -50W</v>
          </cell>
          <cell r="F279">
            <v>50</v>
          </cell>
          <cell r="G279">
            <v>7048</v>
          </cell>
          <cell r="H279">
            <v>50000</v>
          </cell>
          <cell r="I279">
            <v>107</v>
          </cell>
          <cell r="J279">
            <v>48.15</v>
          </cell>
        </row>
        <row r="280">
          <cell r="C280" t="str">
            <v>DISANO 1887 Rodio LED + zaščitna mreža Asimetrični-157W</v>
          </cell>
          <cell r="F280">
            <v>157</v>
          </cell>
          <cell r="G280">
            <v>16843</v>
          </cell>
          <cell r="H280">
            <v>80000</v>
          </cell>
          <cell r="I280">
            <v>368</v>
          </cell>
          <cell r="J280">
            <v>165.6</v>
          </cell>
        </row>
        <row r="281">
          <cell r="C281" t="str">
            <v>DISANO 1891 Rodio LED + zaščitna mreža Simetrični-157W</v>
          </cell>
          <cell r="F281">
            <v>157</v>
          </cell>
          <cell r="G281">
            <v>16516</v>
          </cell>
          <cell r="H281">
            <v>80000</v>
          </cell>
          <cell r="I281">
            <v>368</v>
          </cell>
          <cell r="J281">
            <v>165.6</v>
          </cell>
        </row>
        <row r="282">
          <cell r="C282" t="str">
            <v>DISANO 602 Disanlens-15W</v>
          </cell>
          <cell r="F282">
            <v>15</v>
          </cell>
          <cell r="G282">
            <v>1720</v>
          </cell>
          <cell r="H282">
            <v>50000</v>
          </cell>
          <cell r="I282">
            <v>95</v>
          </cell>
          <cell r="J282">
            <v>42.75</v>
          </cell>
        </row>
        <row r="283">
          <cell r="C283" t="str">
            <v>DISANO 602 Disanlens-30W</v>
          </cell>
          <cell r="F283">
            <v>30</v>
          </cell>
          <cell r="G283">
            <v>3440</v>
          </cell>
          <cell r="H283">
            <v>50000</v>
          </cell>
          <cell r="I283">
            <v>131</v>
          </cell>
          <cell r="J283">
            <v>58.95</v>
          </cell>
        </row>
        <row r="284">
          <cell r="C284" t="str">
            <v>DISANO 601 Disanlens-15W</v>
          </cell>
          <cell r="F284">
            <v>15</v>
          </cell>
          <cell r="G284">
            <v>1947</v>
          </cell>
          <cell r="H284">
            <v>50000</v>
          </cell>
          <cell r="I284">
            <v>105</v>
          </cell>
          <cell r="J284">
            <v>47.25</v>
          </cell>
        </row>
        <row r="285">
          <cell r="C285" t="str">
            <v>DISANO 601 Disanlens-29W</v>
          </cell>
          <cell r="F285">
            <v>29</v>
          </cell>
          <cell r="G285">
            <v>3896</v>
          </cell>
          <cell r="H285">
            <v>50000</v>
          </cell>
          <cell r="I285">
            <v>145</v>
          </cell>
          <cell r="J285">
            <v>65.25</v>
          </cell>
        </row>
        <row r="286">
          <cell r="C286" t="str">
            <v>DISANO 601 Disanlens-43W</v>
          </cell>
          <cell r="F286">
            <v>43</v>
          </cell>
          <cell r="G286">
            <v>5517</v>
          </cell>
          <cell r="H286">
            <v>50000</v>
          </cell>
          <cell r="I286">
            <v>187</v>
          </cell>
          <cell r="J286">
            <v>84.15</v>
          </cell>
        </row>
        <row r="287">
          <cell r="C287" t="str">
            <v>DISANO 746 Oblo 2.0 -15W</v>
          </cell>
          <cell r="F287">
            <v>15</v>
          </cell>
          <cell r="G287">
            <v>1444</v>
          </cell>
          <cell r="H287">
            <v>33000</v>
          </cell>
          <cell r="I287">
            <v>30</v>
          </cell>
          <cell r="J287">
            <v>13.5</v>
          </cell>
        </row>
        <row r="288">
          <cell r="C288" t="str">
            <v>DISANO 747 Oblo 2.0 -18W</v>
          </cell>
          <cell r="F288">
            <v>18</v>
          </cell>
          <cell r="G288">
            <v>1930</v>
          </cell>
          <cell r="H288">
            <v>33000</v>
          </cell>
          <cell r="I288">
            <v>40</v>
          </cell>
          <cell r="J288">
            <v>18</v>
          </cell>
        </row>
        <row r="289">
          <cell r="C289" t="str">
            <v>DISANO 748 Oblo 2.0 -24W</v>
          </cell>
          <cell r="F289">
            <v>24</v>
          </cell>
          <cell r="G289">
            <v>2780</v>
          </cell>
          <cell r="H289">
            <v>33000</v>
          </cell>
          <cell r="I289">
            <v>48</v>
          </cell>
          <cell r="J289">
            <v>21.6</v>
          </cell>
        </row>
        <row r="290">
          <cell r="C290" t="str">
            <v>DISANO 1844 Globo 2.0-14W</v>
          </cell>
          <cell r="F290">
            <v>14</v>
          </cell>
          <cell r="G290">
            <v>1550</v>
          </cell>
          <cell r="H290">
            <v>50000</v>
          </cell>
          <cell r="I290">
            <v>40</v>
          </cell>
          <cell r="J290">
            <v>18</v>
          </cell>
        </row>
        <row r="291">
          <cell r="C291" t="str">
            <v>DISANO 2189 Forum HE Asimetrični-370W</v>
          </cell>
          <cell r="F291">
            <v>370</v>
          </cell>
          <cell r="G291">
            <v>50842</v>
          </cell>
          <cell r="H291">
            <v>90000</v>
          </cell>
          <cell r="I291">
            <v>1300</v>
          </cell>
          <cell r="J291">
            <v>845</v>
          </cell>
        </row>
        <row r="292">
          <cell r="C292" t="str">
            <v>DISANO 2188 Forum HE Simetrični-370W</v>
          </cell>
          <cell r="F292">
            <v>370</v>
          </cell>
          <cell r="G292">
            <v>51427</v>
          </cell>
          <cell r="H292">
            <v>90000</v>
          </cell>
          <cell r="I292">
            <v>1300</v>
          </cell>
          <cell r="J292">
            <v>845</v>
          </cell>
        </row>
        <row r="293">
          <cell r="C293" t="str">
            <v>DISANO 2185 Forum 1 Asimetrični-256W</v>
          </cell>
          <cell r="F293">
            <v>256</v>
          </cell>
          <cell r="G293">
            <v>29804</v>
          </cell>
          <cell r="H293">
            <v>120000</v>
          </cell>
          <cell r="I293">
            <v>1230</v>
          </cell>
          <cell r="J293">
            <v>799.5</v>
          </cell>
        </row>
        <row r="294">
          <cell r="C294" t="str">
            <v>DISANO 2185 Forum 1 Asimetrični-397W</v>
          </cell>
          <cell r="F294">
            <v>397</v>
          </cell>
          <cell r="G294">
            <v>39606</v>
          </cell>
          <cell r="H294">
            <v>100000</v>
          </cell>
          <cell r="I294">
            <v>1280</v>
          </cell>
          <cell r="J294">
            <v>832</v>
          </cell>
        </row>
        <row r="295">
          <cell r="C295" t="str">
            <v>DISANO 2185 Forum 1 Asimetrični-457W</v>
          </cell>
          <cell r="F295">
            <v>457</v>
          </cell>
          <cell r="G295">
            <v>43545</v>
          </cell>
          <cell r="H295">
            <v>90000</v>
          </cell>
          <cell r="I295">
            <v>1440</v>
          </cell>
          <cell r="J295">
            <v>936</v>
          </cell>
        </row>
        <row r="296">
          <cell r="C296" t="str">
            <v>DISANO 2181 Forum 1 Simetrični-256W</v>
          </cell>
          <cell r="F296">
            <v>256</v>
          </cell>
          <cell r="G296">
            <v>27715</v>
          </cell>
          <cell r="H296">
            <v>120000</v>
          </cell>
          <cell r="I296">
            <v>1070</v>
          </cell>
          <cell r="J296">
            <v>695.5</v>
          </cell>
        </row>
        <row r="297">
          <cell r="C297" t="str">
            <v>DISANO 2181 Forum 1 Simetrični-397W</v>
          </cell>
          <cell r="F297">
            <v>397</v>
          </cell>
          <cell r="G297">
            <v>37047</v>
          </cell>
          <cell r="H297">
            <v>100000</v>
          </cell>
          <cell r="I297">
            <v>1120</v>
          </cell>
          <cell r="J297">
            <v>728</v>
          </cell>
        </row>
        <row r="298">
          <cell r="C298" t="str">
            <v>DISANO 2181 Forum 1 Simetrični-457W</v>
          </cell>
          <cell r="F298">
            <v>457</v>
          </cell>
          <cell r="G298">
            <v>40943</v>
          </cell>
          <cell r="H298">
            <v>90000</v>
          </cell>
          <cell r="I298">
            <v>1300</v>
          </cell>
          <cell r="J298">
            <v>845</v>
          </cell>
        </row>
        <row r="299">
          <cell r="C299" t="str">
            <v>DISANO 2183 Forum 1 Simetrični-256W</v>
          </cell>
          <cell r="F299">
            <v>256</v>
          </cell>
          <cell r="G299">
            <v>32350</v>
          </cell>
          <cell r="H299">
            <v>120000</v>
          </cell>
          <cell r="I299">
            <v>1070</v>
          </cell>
          <cell r="J299">
            <v>695.5</v>
          </cell>
        </row>
        <row r="300">
          <cell r="C300" t="str">
            <v>DISANO 2183 Forum 1 Simetrični-397W</v>
          </cell>
          <cell r="F300">
            <v>397</v>
          </cell>
          <cell r="G300">
            <v>43242</v>
          </cell>
          <cell r="H300">
            <v>100000</v>
          </cell>
          <cell r="I300">
            <v>1120</v>
          </cell>
          <cell r="J300">
            <v>728</v>
          </cell>
        </row>
        <row r="301">
          <cell r="C301" t="str">
            <v>DISANO 2183 Forum 1 Simetrični-457W</v>
          </cell>
          <cell r="F301">
            <v>457</v>
          </cell>
          <cell r="G301">
            <v>47789</v>
          </cell>
          <cell r="H301">
            <v>90000</v>
          </cell>
          <cell r="I301">
            <v>1300</v>
          </cell>
          <cell r="J301">
            <v>845</v>
          </cell>
        </row>
        <row r="302">
          <cell r="C302" t="str">
            <v>LED E27 Retrofit (1x)-7W</v>
          </cell>
          <cell r="F302">
            <v>7</v>
          </cell>
          <cell r="G302">
            <v>800</v>
          </cell>
          <cell r="H302">
            <v>25000</v>
          </cell>
          <cell r="I302">
            <v>14</v>
          </cell>
          <cell r="J302">
            <v>5</v>
          </cell>
        </row>
        <row r="303">
          <cell r="C303" t="str">
            <v>LED E27 Retrofit (1x)-10W</v>
          </cell>
          <cell r="F303">
            <v>10</v>
          </cell>
          <cell r="G303">
            <v>1000</v>
          </cell>
          <cell r="H303">
            <v>25000</v>
          </cell>
          <cell r="I303">
            <v>14</v>
          </cell>
          <cell r="J303">
            <v>7</v>
          </cell>
        </row>
        <row r="304">
          <cell r="C304" t="str">
            <v>LED E27 Retrofit (2x)-20W</v>
          </cell>
          <cell r="F304">
            <v>20</v>
          </cell>
          <cell r="G304">
            <v>2000</v>
          </cell>
          <cell r="H304">
            <v>50000</v>
          </cell>
          <cell r="I304">
            <v>28</v>
          </cell>
          <cell r="J304">
            <v>14</v>
          </cell>
        </row>
        <row r="305">
          <cell r="C305" t="str">
            <v>DISANO 2885 Saturno HP-191W</v>
          </cell>
          <cell r="F305">
            <v>191</v>
          </cell>
          <cell r="G305">
            <v>24752</v>
          </cell>
          <cell r="H305">
            <v>60000</v>
          </cell>
          <cell r="I305">
            <v>435</v>
          </cell>
          <cell r="J305">
            <v>282.75</v>
          </cell>
        </row>
        <row r="306">
          <cell r="C306" t="str">
            <v>DISANO 2885 Saturno HP-230W</v>
          </cell>
          <cell r="F306">
            <v>230</v>
          </cell>
          <cell r="G306">
            <v>28605</v>
          </cell>
          <cell r="H306">
            <v>60000</v>
          </cell>
          <cell r="I306">
            <v>455</v>
          </cell>
          <cell r="J306">
            <v>295.75</v>
          </cell>
        </row>
        <row r="307">
          <cell r="C307" t="str">
            <v>DISANO 2885 Saturno fi400 HP-100W</v>
          </cell>
          <cell r="F307">
            <v>100</v>
          </cell>
          <cell r="G307">
            <v>16317</v>
          </cell>
          <cell r="H307">
            <v>80000</v>
          </cell>
          <cell r="I307">
            <v>355</v>
          </cell>
          <cell r="J307">
            <v>230.75</v>
          </cell>
        </row>
        <row r="308">
          <cell r="C308" t="str">
            <v>DISANO 2885 Saturno fi400 HP-139W</v>
          </cell>
          <cell r="F308">
            <v>139</v>
          </cell>
          <cell r="G308">
            <v>20765</v>
          </cell>
          <cell r="H308">
            <v>80000</v>
          </cell>
          <cell r="I308">
            <v>360</v>
          </cell>
          <cell r="J308">
            <v>234</v>
          </cell>
        </row>
        <row r="309">
          <cell r="C309" t="str">
            <v>DISANO 1789 Astro Difuzno-101W</v>
          </cell>
          <cell r="F309">
            <v>101</v>
          </cell>
          <cell r="G309">
            <v>11149</v>
          </cell>
          <cell r="H309">
            <v>100000</v>
          </cell>
          <cell r="I309">
            <v>491</v>
          </cell>
          <cell r="J309">
            <v>319.15000000000003</v>
          </cell>
        </row>
        <row r="310">
          <cell r="C310" t="str">
            <v>DISANO 1789 Astro Difuzno-135W</v>
          </cell>
          <cell r="F310">
            <v>135</v>
          </cell>
          <cell r="G310">
            <v>14865</v>
          </cell>
          <cell r="H310">
            <v>100000</v>
          </cell>
          <cell r="I310">
            <v>500</v>
          </cell>
          <cell r="J310">
            <v>325</v>
          </cell>
        </row>
        <row r="311">
          <cell r="C311" t="str">
            <v>DISANO 1789 Astro Difuzno-203W</v>
          </cell>
          <cell r="F311">
            <v>203</v>
          </cell>
          <cell r="G311">
            <v>22298</v>
          </cell>
          <cell r="H311">
            <v>100000</v>
          </cell>
          <cell r="I311">
            <v>654</v>
          </cell>
          <cell r="J311">
            <v>425.1</v>
          </cell>
        </row>
        <row r="312">
          <cell r="C312" t="str">
            <v>DISANO 1789 Astro Difuzno-235W</v>
          </cell>
          <cell r="F312">
            <v>235</v>
          </cell>
          <cell r="G312">
            <v>26013</v>
          </cell>
          <cell r="H312">
            <v>100000</v>
          </cell>
          <cell r="I312">
            <v>760</v>
          </cell>
          <cell r="J312">
            <v>494</v>
          </cell>
        </row>
        <row r="313">
          <cell r="C313" t="str">
            <v>/-W</v>
          </cell>
          <cell r="F313"/>
          <cell r="G313"/>
          <cell r="H313"/>
          <cell r="I313"/>
          <cell r="J313"/>
        </row>
        <row r="314">
          <cell r="C314" t="str">
            <v>-W</v>
          </cell>
          <cell r="F314"/>
          <cell r="G314"/>
          <cell r="H314"/>
          <cell r="I314"/>
          <cell r="J314"/>
        </row>
      </sheetData>
      <sheetData sheetId="4">
        <row r="119">
          <cell r="F119">
            <v>0.11559931078262896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O5" t="str">
            <v>DISANO 746 Oblo 2.0 -15W</v>
          </cell>
          <cell r="P5">
            <v>1</v>
          </cell>
          <cell r="Q5" t="str">
            <v>Novi dom_Stropna_Halo - 1x42W_WC/Tuš</v>
          </cell>
        </row>
        <row r="6">
          <cell r="O6" t="str">
            <v>DISANO 746 Oblo 2.0 -15W</v>
          </cell>
          <cell r="P6">
            <v>1</v>
          </cell>
          <cell r="Q6" t="str">
            <v>Novi dom_Stropna_Nitka - 1x60W_Hodnik</v>
          </cell>
        </row>
        <row r="7">
          <cell r="O7" t="str">
            <v>DISANO 746 Oblo 2.0 -15W</v>
          </cell>
          <cell r="P7">
            <v>1</v>
          </cell>
          <cell r="Q7" t="str">
            <v>Novi dom_Stropna_Nitka - 1x60W_Stopnišče</v>
          </cell>
        </row>
        <row r="8">
          <cell r="O8" t="str">
            <v>DISANO 602 Disanlens-15W</v>
          </cell>
          <cell r="P8">
            <v>1</v>
          </cell>
          <cell r="Q8" t="str">
            <v>Novi dom_Stropna_T8 Fluo - 1x36W_Soba</v>
          </cell>
        </row>
        <row r="9">
          <cell r="O9" t="str">
            <v>DISANO 731 Minicomfort 3xLED CLD CELL-D-D-28W</v>
          </cell>
          <cell r="P9">
            <v>1</v>
          </cell>
          <cell r="Q9" t="str">
            <v>Novi dom_Stropna_T8 Fluo - 2x36W_Soba</v>
          </cell>
        </row>
        <row r="10">
          <cell r="O10" t="str">
            <v>DISANO 746 Oblo 2.0 -15W</v>
          </cell>
          <cell r="P10">
            <v>1</v>
          </cell>
          <cell r="Q10" t="str">
            <v>Novi dom_Stropna_Halo - 2x42W_Hodnik</v>
          </cell>
        </row>
        <row r="11">
          <cell r="O11" t="str">
            <v>DISANO 746 Oblo 2.0 -15W</v>
          </cell>
          <cell r="P11">
            <v>1</v>
          </cell>
          <cell r="Q11" t="str">
            <v>Novi dom_Stropna_Halo - 2x42W_WC/Tuš</v>
          </cell>
        </row>
        <row r="12">
          <cell r="O12" t="str">
            <v>DISANO 746 Oblo 2.0 -15W</v>
          </cell>
          <cell r="P12">
            <v>1</v>
          </cell>
          <cell r="Q12" t="str">
            <v>Novi dom_Stropna_halo - 3x42W_Soba</v>
          </cell>
        </row>
        <row r="13">
          <cell r="O13" t="str">
            <v>DISANO 746 Oblo 2.0 -15W</v>
          </cell>
          <cell r="P13">
            <v>1</v>
          </cell>
          <cell r="Q13" t="str">
            <v>Objekt A_Stropna_Halo - 1x42W_Skladišče/tehnični prostor</v>
          </cell>
        </row>
        <row r="14">
          <cell r="O14" t="str">
            <v>DISANO 746 Oblo 2.0 -15W</v>
          </cell>
          <cell r="P14">
            <v>1</v>
          </cell>
          <cell r="Q14" t="str">
            <v>Objekt A_Stropna_Nitka - 1x60W_Skladišče/tehnični prostor</v>
          </cell>
        </row>
        <row r="15">
          <cell r="O15" t="str">
            <v>DISANO 746 Oblo 2.0 -15W</v>
          </cell>
          <cell r="P15">
            <v>1</v>
          </cell>
          <cell r="Q15" t="str">
            <v>Objekt A_Stropna_Nitka - 1x60W_Stopnišče</v>
          </cell>
        </row>
        <row r="16">
          <cell r="O16" t="str">
            <v>DISANO 6000 Rapid L=3260mm (komplet)-73W</v>
          </cell>
          <cell r="P16">
            <v>0.5</v>
          </cell>
          <cell r="Q16" t="str">
            <v>Objekt A_Stropna_T8 Fluo - 1x58W_Tabla - učilnica</v>
          </cell>
        </row>
        <row r="17">
          <cell r="O17" t="str">
            <v>DISANO 731 Minicomfort LED R -37W</v>
          </cell>
          <cell r="P17">
            <v>1</v>
          </cell>
          <cell r="Q17" t="str">
            <v>Objekt A_Stropna_T8 Fluo - 2x36W_Generalna - učilnica</v>
          </cell>
        </row>
        <row r="18">
          <cell r="O18" t="str">
            <v>DISANO 731 Minicomfort LED R -37W</v>
          </cell>
          <cell r="P18">
            <v>1</v>
          </cell>
          <cell r="Q18" t="str">
            <v>Objekt A_Stropna_T8 Fluo - 2x36W_Kabinet</v>
          </cell>
        </row>
        <row r="19">
          <cell r="O19" t="str">
            <v>DISANO 731 Minicomfort LED R -37W</v>
          </cell>
          <cell r="P19">
            <v>1</v>
          </cell>
          <cell r="Q19" t="str">
            <v>Objekt A_Stropna_T8 Fluo - 2x36W_Skladišče/tehnični prostor</v>
          </cell>
        </row>
        <row r="20">
          <cell r="O20" t="str">
            <v>DISANO 731 Minicomfort LED R -37W</v>
          </cell>
          <cell r="P20">
            <v>1</v>
          </cell>
          <cell r="Q20" t="str">
            <v>Objekt A_Stropna_T8 Fluo - 2x36W_Jedilnica</v>
          </cell>
        </row>
        <row r="21">
          <cell r="O21" t="str">
            <v>DISANO 731 Minicomfort LED R -37W</v>
          </cell>
          <cell r="P21">
            <v>1</v>
          </cell>
          <cell r="Q21" t="str">
            <v>Objekt A_Stropna_T8 Fluo - 2x36W_Kuhinja</v>
          </cell>
        </row>
        <row r="22">
          <cell r="O22" t="str">
            <v>DISANO 731 Minicomfort LED R -37W</v>
          </cell>
          <cell r="P22">
            <v>1.5</v>
          </cell>
          <cell r="Q22" t="str">
            <v>Objekt A_Stropna_T8 Fluo - 2x58W_Generalna - učilnica</v>
          </cell>
        </row>
        <row r="23">
          <cell r="O23" t="str">
            <v>DISANO 731 Minicomfort LED R -37W</v>
          </cell>
          <cell r="P23">
            <v>1.5</v>
          </cell>
          <cell r="Q23" t="str">
            <v>Objekt A_Stropna_T8 Fluo - 2x58W_Hodnik</v>
          </cell>
        </row>
        <row r="24">
          <cell r="O24" t="str">
            <v>DISANO 731 Minicomfort LED R -37W</v>
          </cell>
          <cell r="P24">
            <v>1.5</v>
          </cell>
          <cell r="Q24" t="str">
            <v>Objekt A_Stropna_T8 Fluo - 2x58W_Kabinet</v>
          </cell>
        </row>
        <row r="25">
          <cell r="O25" t="str">
            <v>DISANO 731 Minicomfort LED R -37W</v>
          </cell>
          <cell r="P25">
            <v>1.5</v>
          </cell>
          <cell r="Q25" t="str">
            <v>Objekt A_Stropna_T8 Fluo - 2x58W_Pisarna</v>
          </cell>
        </row>
        <row r="26">
          <cell r="O26" t="str">
            <v>DISANO 731 Minicomfort LED R -37W</v>
          </cell>
          <cell r="P26">
            <v>1.5</v>
          </cell>
          <cell r="Q26" t="str">
            <v>Objekt A_Stropna_T8 Fluo - 2x58W_Jedilnica</v>
          </cell>
        </row>
        <row r="27">
          <cell r="O27" t="str">
            <v>DISANO 962 Hydro LED, Energy saving  -50W</v>
          </cell>
          <cell r="P27">
            <v>1</v>
          </cell>
          <cell r="Q27" t="str">
            <v>Objekt A_Stropna_T8 Fluo - 2x58W_Kuhinja</v>
          </cell>
        </row>
        <row r="28">
          <cell r="O28" t="str">
            <v>DISANO 962 Hydro LED, Energy saving  -50W</v>
          </cell>
          <cell r="P28">
            <v>1</v>
          </cell>
          <cell r="Q28" t="str">
            <v>Objekt A_Stropna_T8 Fluo - 3x36W_Stopnišče</v>
          </cell>
        </row>
        <row r="29">
          <cell r="O29" t="str">
            <v>DISANO 731 Minicomfort 4xLED CLD CELL-D-D-37W</v>
          </cell>
          <cell r="P29">
            <v>1</v>
          </cell>
          <cell r="Q29" t="str">
            <v>Objekt A_Stropna_T8 Fluo - 4x18W_Skladišče/tehnični prostor</v>
          </cell>
        </row>
        <row r="30">
          <cell r="O30" t="str">
            <v>-W</v>
          </cell>
          <cell r="P30"/>
          <cell r="Q30" t="str">
            <v>Objekt A_Stropna_T5 Fluo - 2x28W_Generalna - učilnica</v>
          </cell>
        </row>
        <row r="31">
          <cell r="O31" t="str">
            <v>-W</v>
          </cell>
          <cell r="P31"/>
          <cell r="Q31" t="str">
            <v>Objekt A_Stropna_T5 Fluo - 2x28W_Hodnik</v>
          </cell>
        </row>
        <row r="32">
          <cell r="O32" t="str">
            <v>-W</v>
          </cell>
          <cell r="P32"/>
          <cell r="Q32" t="str">
            <v>Objekt A_Stropna_T5 Fluo - 2x28W_Kabinet</v>
          </cell>
        </row>
        <row r="33">
          <cell r="O33" t="str">
            <v>-W</v>
          </cell>
          <cell r="P33"/>
          <cell r="Q33" t="str">
            <v>Objekt A_Stropna_T5 Fluo - 2x28W_Skladišče/tehnični prostor</v>
          </cell>
        </row>
        <row r="34">
          <cell r="O34" t="str">
            <v>DISANO 746 Oblo 2.0 -15W</v>
          </cell>
          <cell r="P34">
            <v>1</v>
          </cell>
          <cell r="Q34" t="str">
            <v>Objekt A_Stropna_Halo - 2x42W_Hodnik</v>
          </cell>
        </row>
        <row r="35">
          <cell r="O35" t="str">
            <v>DISANO 746 Oblo 2.0 -15W</v>
          </cell>
          <cell r="P35">
            <v>1</v>
          </cell>
          <cell r="Q35" t="str">
            <v>Objekt A_Stropna_CFL - 2x13W_Hodnik</v>
          </cell>
        </row>
        <row r="36">
          <cell r="O36" t="str">
            <v>DISANO 746 Oblo 2.0 -15W</v>
          </cell>
          <cell r="P36">
            <v>1</v>
          </cell>
          <cell r="Q36" t="str">
            <v>Objekt A_Stropna_PI4_SQUARE_CFL - 1x28W_Hodnik</v>
          </cell>
        </row>
        <row r="37">
          <cell r="O37" t="str">
            <v>DISANO 746 Oblo 2.0 -15W</v>
          </cell>
          <cell r="P37">
            <v>1</v>
          </cell>
          <cell r="Q37" t="str">
            <v>Objekt A_Stropna_PI4_SQUARE_CFL - 1x28W_Stopnišče</v>
          </cell>
        </row>
        <row r="38">
          <cell r="O38" t="str">
            <v>DISANO 731 Minicomfort LED R -37W</v>
          </cell>
          <cell r="P38">
            <v>2</v>
          </cell>
          <cell r="Q38" t="str">
            <v>Objekt A_Stropna_T8 Fluo - 3x58W_Pisarna</v>
          </cell>
        </row>
        <row r="39">
          <cell r="O39" t="str">
            <v>DISANO 746 Oblo 2.0 -15W</v>
          </cell>
          <cell r="P39">
            <v>1</v>
          </cell>
          <cell r="Q39" t="str">
            <v>Objekt A_Stropna_PI4_SQUARE_CFL - 1x21W_WC/Tuš</v>
          </cell>
        </row>
        <row r="40">
          <cell r="O40" t="str">
            <v>FOSNOVA EcoLex 3 CLD CELL-21W</v>
          </cell>
          <cell r="P40">
            <v>1</v>
          </cell>
          <cell r="Q40" t="str">
            <v>Objekt A_Vgradna_CFL - 2x18W_Hodnik</v>
          </cell>
        </row>
        <row r="41">
          <cell r="O41" t="str">
            <v>FOSNOVA EcoLex 3 CLD CELL-21W</v>
          </cell>
          <cell r="P41">
            <v>1</v>
          </cell>
          <cell r="Q41" t="str">
            <v>Objekt A_Vgradna_CFL - 2x18W_Stopnišče</v>
          </cell>
        </row>
        <row r="42">
          <cell r="O42" t="str">
            <v>FOSNOVA EcoLex 3 CLD CELL-21W</v>
          </cell>
          <cell r="P42">
            <v>1</v>
          </cell>
          <cell r="Q42" t="str">
            <v>Objekt A_Vgradna_PI4_CFL - 2x18W_Garderoba</v>
          </cell>
        </row>
        <row r="43">
          <cell r="O43" t="str">
            <v>FOSNOVA EcoLex 3 CLD CELL-21W</v>
          </cell>
          <cell r="P43">
            <v>1</v>
          </cell>
          <cell r="Q43" t="str">
            <v>Objekt A_Vgradna_PI4_CFL - 2x18W_Pisarna</v>
          </cell>
        </row>
        <row r="44">
          <cell r="O44" t="str">
            <v>DISANO 841 Minicomfort 4xLED CLD CELL-D-D-37W</v>
          </cell>
          <cell r="P44">
            <v>1</v>
          </cell>
          <cell r="Q44" t="str">
            <v>Objekt A_Vgradna_T8 Fluo - 4x18W_Generalna - učilnica</v>
          </cell>
        </row>
        <row r="45">
          <cell r="O45" t="str">
            <v>DISANO 841 Minicomfort 4xLED CLD CELL-D-D-37W</v>
          </cell>
          <cell r="P45">
            <v>1</v>
          </cell>
          <cell r="Q45" t="str">
            <v>Objekt A_Vgradna_T8 Fluo - 4x18W_Pisarna</v>
          </cell>
        </row>
        <row r="46">
          <cell r="O46" t="str">
            <v>DISANO 841 Minicomfort 2+2xLED R -37W</v>
          </cell>
          <cell r="P46">
            <v>2</v>
          </cell>
          <cell r="Q46" t="str">
            <v>Objekt A_Vgradna_T8 Fluo - 4x36W_Generalna - učilnica</v>
          </cell>
        </row>
        <row r="47">
          <cell r="O47" t="str">
            <v>DISANO 841 Minicomfort 2+2xLED R -37W</v>
          </cell>
          <cell r="P47">
            <v>2</v>
          </cell>
          <cell r="Q47" t="str">
            <v>Objekt A_Vgradna_T8 Fluo - 4x36W_Kabinet</v>
          </cell>
        </row>
        <row r="48">
          <cell r="O48" t="str">
            <v>DISANO 841 Minicomfort 2+2xLED R -37W</v>
          </cell>
          <cell r="P48">
            <v>2</v>
          </cell>
          <cell r="Q48" t="str">
            <v>Objekt A_Vgradna_T8 Fluo - 4x36W_Pisarna</v>
          </cell>
        </row>
        <row r="49">
          <cell r="O49" t="str">
            <v>FOSNOVA EcoLex 2 CLD CELL-14W</v>
          </cell>
          <cell r="P49">
            <v>1</v>
          </cell>
          <cell r="Q49" t="str">
            <v>Objekt A_Vgradna_PI4_CFL - 1x18W_WC/Tuš</v>
          </cell>
        </row>
        <row r="50">
          <cell r="O50" t="str">
            <v>-W</v>
          </cell>
          <cell r="P50"/>
          <cell r="Q50" t="str">
            <v>Objekt A_Vgradna_T5 Fluo - 4x14W_Generalna - učilnica</v>
          </cell>
        </row>
        <row r="51">
          <cell r="O51" t="str">
            <v>-W</v>
          </cell>
          <cell r="P51"/>
          <cell r="Q51" t="str">
            <v>Objekt A_Vgradna_T5 Fluo - 4x14W_Kabinet</v>
          </cell>
        </row>
        <row r="52">
          <cell r="O52" t="str">
            <v>-W</v>
          </cell>
          <cell r="P52"/>
          <cell r="Q52" t="str">
            <v>Objekt A_Vgradna_LED - 1x14W_Hodnik</v>
          </cell>
        </row>
        <row r="53">
          <cell r="O53" t="str">
            <v>DISANO 6000 Rapid L=3260mm (komplet)-73W</v>
          </cell>
          <cell r="P53">
            <v>0.5</v>
          </cell>
          <cell r="Q53" t="str">
            <v>Objekt A_Viseča_T8 Fluo - 1x36W_Tabla - učilnica</v>
          </cell>
        </row>
        <row r="54">
          <cell r="O54" t="str">
            <v>DISANO 731 Minicomfort LED R -37W</v>
          </cell>
          <cell r="P54">
            <v>1</v>
          </cell>
          <cell r="Q54" t="str">
            <v>Objekt B_Stropna_T8 Fluo - 2x36W_Generalna - učilnica</v>
          </cell>
        </row>
        <row r="55">
          <cell r="O55" t="str">
            <v>-W</v>
          </cell>
          <cell r="P55"/>
          <cell r="Q55" t="str">
            <v>Objekt B_Stropna_T5 Fluo - 2x35W_Generalna - učilnica</v>
          </cell>
        </row>
        <row r="56">
          <cell r="O56" t="str">
            <v>-W</v>
          </cell>
          <cell r="P56"/>
          <cell r="Q56" t="str">
            <v>Objekt B_Stropna_T5 Fluo - 2x35W_Hodnik</v>
          </cell>
        </row>
        <row r="57">
          <cell r="O57" t="str">
            <v>-W</v>
          </cell>
          <cell r="P57">
            <v>1</v>
          </cell>
          <cell r="Q57" t="str">
            <v>Objekt B_Stropna_PI4_CFL - 2x42W_Hodnik</v>
          </cell>
        </row>
        <row r="58">
          <cell r="O58" t="str">
            <v>FOSNOVA EcoLex 3 CLD CELL-21W</v>
          </cell>
          <cell r="P58">
            <v>1</v>
          </cell>
          <cell r="Q58" t="str">
            <v>Objekt B_Vgradna_PI4_CFL - 2x18W_Hodnik</v>
          </cell>
        </row>
        <row r="59">
          <cell r="O59" t="str">
            <v>DISANO 841 Minicomfort 4xLED CLD CELL-D-D-37W</v>
          </cell>
          <cell r="P59">
            <v>1</v>
          </cell>
          <cell r="Q59" t="str">
            <v>Objekt B_Vgradna_T8 Fluo - 4x18W_Generalna - učilnica</v>
          </cell>
        </row>
        <row r="60">
          <cell r="O60" t="str">
            <v>DISANO 841 Minicomfort 4xLED CLD CELL-D-D-37W</v>
          </cell>
          <cell r="P60">
            <v>1</v>
          </cell>
          <cell r="Q60" t="str">
            <v>Objekt B_Vgradna_T8 Fluo - 4x18W_Hodnik</v>
          </cell>
        </row>
        <row r="61">
          <cell r="O61" t="str">
            <v>DISANO 841 Minicomfort 4xLED CLD CELL-D-D-37W</v>
          </cell>
          <cell r="P61">
            <v>2</v>
          </cell>
          <cell r="Q61" t="str">
            <v>Objekt B_Vgradna_T8 Fluo - 4x36W_Generalna - učilnica</v>
          </cell>
        </row>
        <row r="62">
          <cell r="O62" t="str">
            <v>-W</v>
          </cell>
          <cell r="P62"/>
          <cell r="Q62" t="str">
            <v>Objekt B_Vgradna_T5 Fluo - 4x14W_Generalna - učilnica</v>
          </cell>
        </row>
        <row r="63">
          <cell r="O63" t="str">
            <v>-W</v>
          </cell>
          <cell r="P63"/>
          <cell r="Q63" t="str">
            <v>Objekt B_Vgradna_T5 Fluo - 4x14W_Hodnik</v>
          </cell>
        </row>
        <row r="64">
          <cell r="O64" t="str">
            <v>-W</v>
          </cell>
          <cell r="P64"/>
          <cell r="Q64" t="str">
            <v>Objekt B_Vgradna_T5 Fluo - 2x35W_Generalna - učilnica</v>
          </cell>
        </row>
        <row r="65">
          <cell r="O65" t="str">
            <v>DISANO 731 Minicomfort LED R -37W</v>
          </cell>
          <cell r="P65">
            <v>1</v>
          </cell>
          <cell r="Q65" t="str">
            <v>Objekt B_Viseča_T8 Fluo - 4x18W_Generalna - učilnica</v>
          </cell>
        </row>
        <row r="66">
          <cell r="O66" t="str">
            <v>-W</v>
          </cell>
          <cell r="P66"/>
          <cell r="Q66" t="str">
            <v>Objekt B_Viseča_T5 Fluo - 2x35W_Generalna - učilnica</v>
          </cell>
        </row>
        <row r="67">
          <cell r="O67" t="str">
            <v>DISANO 746 Oblo 2.0 -15W</v>
          </cell>
          <cell r="P67">
            <v>1</v>
          </cell>
          <cell r="Q67" t="str">
            <v>Stari dom_Reflektor_Halo - 2x42W_Jedilnica</v>
          </cell>
        </row>
        <row r="68">
          <cell r="O68" t="str">
            <v>LED E27 Retrofit (1x)-7W</v>
          </cell>
          <cell r="P68">
            <v>1</v>
          </cell>
          <cell r="Q68" t="str">
            <v>Stari dom_Reflektor_CFL - 1x5W_Pisarna</v>
          </cell>
        </row>
        <row r="69">
          <cell r="O69" t="str">
            <v>DISANO 746 Oblo 2.0 -15W</v>
          </cell>
          <cell r="P69">
            <v>1</v>
          </cell>
          <cell r="Q69" t="str">
            <v>Stari dom_Stropna_Halo - 1x42W_Hodnik</v>
          </cell>
        </row>
        <row r="70">
          <cell r="O70" t="str">
            <v>DISANO 746 Oblo 2.0 -15W</v>
          </cell>
          <cell r="P70">
            <v>1</v>
          </cell>
          <cell r="Q70" t="str">
            <v>Stari dom_Stropna_Halo - 1x42W_Skladišče/tehnični prostor</v>
          </cell>
        </row>
        <row r="71">
          <cell r="O71" t="str">
            <v>DISANO 746 Oblo 2.0 -15W</v>
          </cell>
          <cell r="P71">
            <v>1</v>
          </cell>
          <cell r="Q71" t="str">
            <v>Stari dom_Stropna_Halo - 1x42W_WC/Tuš</v>
          </cell>
        </row>
        <row r="72">
          <cell r="O72" t="str">
            <v>DISANO 746 Oblo 2.0 -15W</v>
          </cell>
          <cell r="P72">
            <v>1</v>
          </cell>
          <cell r="Q72" t="str">
            <v>Stari dom_Stropna_Halo - 1x42W_Soba</v>
          </cell>
        </row>
        <row r="73">
          <cell r="O73" t="str">
            <v>-W</v>
          </cell>
          <cell r="P73"/>
          <cell r="Q73" t="str">
            <v>Stari dom_Stropna_LED - 1x9W_Hodnik</v>
          </cell>
        </row>
        <row r="74">
          <cell r="O74" t="str">
            <v>DISANO 746 Oblo 2.0 -15W</v>
          </cell>
          <cell r="P74">
            <v>1</v>
          </cell>
          <cell r="Q74" t="str">
            <v>Stari dom_Stropna_Nitka - 1x60W_WC/Tuš</v>
          </cell>
        </row>
        <row r="75">
          <cell r="O75" t="str">
            <v>DISANO 746 Oblo 2.0 -15W</v>
          </cell>
          <cell r="P75">
            <v>1</v>
          </cell>
          <cell r="Q75" t="str">
            <v>Stari dom_Stropna_Nitka - 2x60W_Hodnik</v>
          </cell>
        </row>
        <row r="76">
          <cell r="O76" t="str">
            <v>DISANO 746 Oblo 2.0 -15W</v>
          </cell>
          <cell r="P76">
            <v>1</v>
          </cell>
          <cell r="Q76" t="str">
            <v>Stari dom_Stropna_Nitka - 2x60W_WC/Tuš</v>
          </cell>
        </row>
        <row r="77">
          <cell r="O77" t="str">
            <v>DISANO 746 Oblo 2.0 -15W</v>
          </cell>
          <cell r="P77">
            <v>1</v>
          </cell>
          <cell r="Q77" t="str">
            <v>Stari dom_Stropna_Nitka - 2x60W_Soba</v>
          </cell>
        </row>
        <row r="78">
          <cell r="O78" t="str">
            <v>DISANO 962 Hydro LED, Energy saving  -36W</v>
          </cell>
          <cell r="P78">
            <v>1</v>
          </cell>
          <cell r="Q78" t="str">
            <v>Stari dom_Stropna_T8 Fluo - 1x58W_Skladišče/tehnični prostor</v>
          </cell>
        </row>
        <row r="79">
          <cell r="O79" t="str">
            <v>DISANO 962 Hydro LED, Energy saving  -36W</v>
          </cell>
          <cell r="P79">
            <v>1</v>
          </cell>
          <cell r="Q79" t="str">
            <v>Stari dom_Stropna_T8 Fluo - 1x58W_Delovni prostor</v>
          </cell>
        </row>
        <row r="80">
          <cell r="O80" t="str">
            <v>DISANO 962 Hydro LED, Energy saving  -36W</v>
          </cell>
          <cell r="P80">
            <v>1</v>
          </cell>
          <cell r="Q80" t="str">
            <v>Stari dom_Stropna_T8 Fluo - 2x36W_Generalna - učilnica</v>
          </cell>
        </row>
        <row r="81">
          <cell r="O81" t="str">
            <v>DISANO 731 Minicomfort LED R -37W</v>
          </cell>
          <cell r="P81">
            <v>1</v>
          </cell>
          <cell r="Q81" t="str">
            <v>Stari dom_Stropna_T8 Fluo - 2x36W_Pisarna</v>
          </cell>
        </row>
        <row r="82">
          <cell r="O82" t="str">
            <v>DISANO 962 Hydro LED, Energy saving  -36W</v>
          </cell>
          <cell r="P82">
            <v>1</v>
          </cell>
          <cell r="Q82" t="str">
            <v>Stari dom_Stropna_T8 Fluo - 2x36W_Skladišče/tehnični prostor</v>
          </cell>
        </row>
        <row r="83">
          <cell r="O83" t="str">
            <v>DISANO 962 Hydro LED, Energy saving  -36W</v>
          </cell>
          <cell r="P83">
            <v>1</v>
          </cell>
          <cell r="Q83" t="str">
            <v>Stari dom_Stropna_T8 Fluo - 2x36W_Delovni prostor</v>
          </cell>
        </row>
        <row r="84">
          <cell r="O84" t="str">
            <v>DISANO 731 Minicomfort LED R -37W</v>
          </cell>
          <cell r="P84">
            <v>1</v>
          </cell>
          <cell r="Q84" t="str">
            <v>Stari dom_Stropna_T8 Fluo - 2x36W_Soba</v>
          </cell>
        </row>
        <row r="85">
          <cell r="O85" t="str">
            <v>DISANO 731 Minicomfort LED R -37W</v>
          </cell>
          <cell r="P85">
            <v>1</v>
          </cell>
          <cell r="Q85" t="str">
            <v>Stari dom_Stropna_T8 Fluo - 2x58W_Hodnik</v>
          </cell>
        </row>
        <row r="86">
          <cell r="O86" t="str">
            <v>DISANO 731 Minicomfort LED R -37W</v>
          </cell>
          <cell r="P86">
            <v>1</v>
          </cell>
          <cell r="Q86" t="str">
            <v>Stari dom_Stropna_T8 Fluo - 2x58W_Delovni prostor</v>
          </cell>
        </row>
        <row r="87">
          <cell r="O87" t="str">
            <v>DISANO 746 Oblo 2.0 -15W</v>
          </cell>
          <cell r="P87">
            <v>1</v>
          </cell>
          <cell r="Q87" t="str">
            <v>Stari dom_Stropna_Halo - 2x42W_Hodnik</v>
          </cell>
        </row>
        <row r="88">
          <cell r="O88" t="str">
            <v>DISANO 746 Oblo 2.0 -15W</v>
          </cell>
          <cell r="P88">
            <v>1</v>
          </cell>
          <cell r="Q88" t="str">
            <v>Stari dom_Stropna_Halo - 2x42W_Skladišče/tehnični prostor</v>
          </cell>
        </row>
        <row r="89">
          <cell r="O89" t="str">
            <v>DISANO 746 Oblo 2.0 -15W</v>
          </cell>
          <cell r="P89">
            <v>1</v>
          </cell>
          <cell r="Q89" t="str">
            <v>Stari dom_Stropna_Halo - 2x42W_Stopnišče</v>
          </cell>
        </row>
        <row r="90">
          <cell r="O90" t="str">
            <v>DISANO 746 Oblo 2.0 -15W</v>
          </cell>
          <cell r="P90">
            <v>1</v>
          </cell>
          <cell r="Q90" t="str">
            <v>Stari dom_Stropna_Halo - 2x42W_WC/Tuš</v>
          </cell>
        </row>
        <row r="91">
          <cell r="O91" t="str">
            <v>DISANO 746 Oblo 2.0 -15W</v>
          </cell>
          <cell r="P91">
            <v>1</v>
          </cell>
          <cell r="Q91" t="str">
            <v>Stari dom_Stropna_Halo - 2x42W_Soba</v>
          </cell>
        </row>
        <row r="92">
          <cell r="O92" t="str">
            <v>DISANO 746 Oblo 2.0 -15W</v>
          </cell>
          <cell r="P92">
            <v>1</v>
          </cell>
          <cell r="Q92" t="str">
            <v>Stari dom_Stropna_Halo - 4x42W_Skladišče/tehnični prostor</v>
          </cell>
        </row>
        <row r="93">
          <cell r="O93" t="str">
            <v>DISANO 746 Oblo 2.0 -15W</v>
          </cell>
          <cell r="P93">
            <v>1</v>
          </cell>
          <cell r="Q93" t="str">
            <v>Stari dom_Stropna_halo - 3x42W_Hodnik</v>
          </cell>
        </row>
        <row r="94">
          <cell r="O94" t="str">
            <v>DISANO 746 Oblo 2.0 -15W</v>
          </cell>
          <cell r="P94">
            <v>1</v>
          </cell>
          <cell r="Q94" t="str">
            <v>Stari dom_Stropna_halo - 3x42W_WC/Tuš</v>
          </cell>
        </row>
        <row r="95">
          <cell r="O95" t="str">
            <v>DISANO 746 Oblo 2.0 -15W</v>
          </cell>
          <cell r="P95">
            <v>1</v>
          </cell>
          <cell r="Q95" t="str">
            <v>Stari dom_Stropna_halo - 3x42W_Jedilnica</v>
          </cell>
        </row>
        <row r="96">
          <cell r="O96" t="str">
            <v>DISANO 746 Oblo 2.0 -15W</v>
          </cell>
          <cell r="P96">
            <v>1</v>
          </cell>
          <cell r="Q96" t="str">
            <v>Stari dom_Stropna_halo - 3x42W_Soba</v>
          </cell>
        </row>
        <row r="97">
          <cell r="O97" t="str">
            <v>LED E27 Retrofit (1x)-10W</v>
          </cell>
          <cell r="P97">
            <v>1</v>
          </cell>
          <cell r="Q97" t="str">
            <v>Stari dom_Stropna_CFL - 3x15W_Jedilnica</v>
          </cell>
        </row>
        <row r="98">
          <cell r="O98"/>
          <cell r="P98"/>
          <cell r="Q98" t="str">
            <v>(prazno)_(prazno)__(prazno)</v>
          </cell>
        </row>
        <row r="99">
          <cell r="O99"/>
          <cell r="P99"/>
          <cell r="Q99" t="str">
            <v>(prazno)_(prazno)__(prazno)</v>
          </cell>
        </row>
        <row r="100">
          <cell r="O100"/>
          <cell r="P100"/>
          <cell r="Q100" t="str">
            <v>___</v>
          </cell>
        </row>
        <row r="101">
          <cell r="O101"/>
          <cell r="P101"/>
          <cell r="Q101" t="str">
            <v>___</v>
          </cell>
        </row>
        <row r="102">
          <cell r="O102"/>
          <cell r="P102"/>
          <cell r="Q102" t="str">
            <v>___</v>
          </cell>
        </row>
        <row r="103">
          <cell r="O103"/>
          <cell r="P103"/>
          <cell r="Q103" t="str">
            <v>___</v>
          </cell>
        </row>
        <row r="104">
          <cell r="O104"/>
          <cell r="P104"/>
          <cell r="Q104" t="str">
            <v>___</v>
          </cell>
        </row>
        <row r="105">
          <cell r="O105"/>
          <cell r="P105"/>
          <cell r="Q105" t="str">
            <v>___</v>
          </cell>
        </row>
        <row r="106">
          <cell r="O106"/>
          <cell r="P106"/>
          <cell r="Q106" t="str">
            <v>___</v>
          </cell>
        </row>
        <row r="107">
          <cell r="O107"/>
          <cell r="P107"/>
          <cell r="Q107" t="str">
            <v>___</v>
          </cell>
        </row>
        <row r="108">
          <cell r="O108"/>
          <cell r="P108"/>
          <cell r="Q108" t="str">
            <v>___</v>
          </cell>
        </row>
        <row r="109">
          <cell r="O109"/>
          <cell r="P109"/>
          <cell r="Q109" t="str">
            <v>___</v>
          </cell>
        </row>
        <row r="110">
          <cell r="O110"/>
          <cell r="P110"/>
          <cell r="Q110" t="str">
            <v>___</v>
          </cell>
        </row>
        <row r="111">
          <cell r="O111"/>
          <cell r="P111"/>
          <cell r="Q111" t="str">
            <v>___</v>
          </cell>
        </row>
        <row r="112">
          <cell r="O112"/>
          <cell r="Q112" t="str">
            <v>___</v>
          </cell>
        </row>
        <row r="113">
          <cell r="O113"/>
          <cell r="Q113" t="str">
            <v>___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1"/>
      <sheetName val="Seznam objektov"/>
      <sheetName val="DTP"/>
      <sheetName val="Zbirnik rab"/>
      <sheetName val="Ref. porabe in stroški"/>
      <sheetName val="Energenti"/>
      <sheetName val="Ocena vzdrževanje"/>
      <sheetName val="OB001"/>
      <sheetName val="OB002"/>
      <sheetName val="OB003"/>
      <sheetName val="OB004"/>
      <sheetName val="OB005"/>
      <sheetName val="OB006"/>
      <sheetName val="OB007"/>
      <sheetName val="OB008"/>
      <sheetName val="OB009"/>
      <sheetName val="OB010"/>
      <sheetName val="OB011"/>
      <sheetName val="OB012"/>
      <sheetName val="OB013"/>
      <sheetName val="OB014"/>
      <sheetName val="OB015"/>
      <sheetName val="OB016"/>
      <sheetName val="OB017"/>
      <sheetName val="OB018"/>
      <sheetName val="OB019"/>
      <sheetName val="OB020"/>
      <sheetName val="OB021"/>
      <sheetName val="OB022"/>
      <sheetName val="OB023"/>
      <sheetName val="OB024"/>
      <sheetName val="OB025"/>
      <sheetName val="OB026"/>
      <sheetName val="OB027"/>
      <sheetName val="OB028"/>
      <sheetName val="OB029"/>
      <sheetName val="OB030"/>
      <sheetName val="OB031"/>
      <sheetName val="OB032"/>
      <sheetName val="OB033"/>
      <sheetName val="OB034"/>
      <sheetName val="OB035"/>
      <sheetName val="OB036"/>
      <sheetName val="OB037"/>
      <sheetName val="OBvir038"/>
      <sheetName val="OB038"/>
      <sheetName val="OB039"/>
      <sheetName val="OB040"/>
      <sheetName val="OB041"/>
      <sheetName val="OB042"/>
      <sheetName val="OB043"/>
      <sheetName val="OB044"/>
      <sheetName val="OB045"/>
      <sheetName val="OB046"/>
      <sheetName val="OB047"/>
      <sheetName val="OB048"/>
      <sheetName val="OB049"/>
      <sheetName val="OB050"/>
      <sheetName val="SEZNAM_EUO_V2.6_EOL3_rev00"/>
    </sheetNames>
    <sheetDataSet>
      <sheetData sheetId="0"/>
      <sheetData sheetId="1"/>
      <sheetData sheetId="2">
        <row r="14">
          <cell r="C14">
            <v>2745.9</v>
          </cell>
        </row>
        <row r="15">
          <cell r="C15">
            <v>2766.6</v>
          </cell>
        </row>
        <row r="16">
          <cell r="C16">
            <v>2721.3</v>
          </cell>
        </row>
        <row r="17">
          <cell r="C17">
            <v>2535.8999999999996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Rates"/>
      <sheetName val="Kurs walut"/>
      <sheetName val="OFFER"/>
      <sheetName val="Pipe"/>
      <sheetName val="zbiorczy (new)"/>
      <sheetName val="Prezračevanje"/>
      <sheetName val="Kurs_walut"/>
      <sheetName val="zbiorczy_(new)"/>
      <sheetName val="Baseline"/>
      <sheetName val="Ekonomika EpC"/>
      <sheetName val="Gradnja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G"/>
      <sheetName val="Muog"/>
      <sheetName val="Tilgung"/>
      <sheetName val="Tilgung Ferngas"/>
      <sheetName val="DCF"/>
      <sheetName val="s"/>
      <sheetName val="  ©"/>
      <sheetName val="Übersicht"/>
      <sheetName val="Anlagen"/>
      <sheetName val="Zahlungsströme"/>
      <sheetName val="Kennzahlen"/>
      <sheetName val="D-IRR"/>
      <sheetName val="D-CF"/>
      <sheetName val="D-E"/>
      <sheetName val="D-A"/>
      <sheetName val="D-A1"/>
      <sheetName val="D-A2"/>
      <sheetName val="Ablage"/>
      <sheetName val="D-IRR2"/>
      <sheetName val="D-CF2"/>
      <sheetName val="D-A1%"/>
      <sheetName val="D-A2%"/>
      <sheetName val="Tilgung_Ferngas"/>
      <sheetName val="__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p_svetilkeSTARO"/>
      <sheetName val="PopisSTARO"/>
      <sheetName val="V1 - Občina"/>
      <sheetName val="V 2 - Koncesija"/>
      <sheetName val="Priloga 1-Last.fin. JR Izola"/>
      <sheetName val="Priloga 2-Javno-zasebno part."/>
      <sheetName val="EKONOMIKA JR Izola"/>
      <sheetName val="POTENCIAL JR Izola - po FT"/>
      <sheetName val="Napoved"/>
      <sheetName val="Finančni tokovi"/>
      <sheetName val="Zbirna tabela"/>
      <sheetName val="Gradnja"/>
      <sheetName val="Kalkulacija"/>
      <sheetName val="PopisGOLEA"/>
      <sheetName val="Tip_svetilke"/>
      <sheetName val="Philips"/>
      <sheetName val="Prizigalisca"/>
      <sheetName val="ObnovaPrizigalisca"/>
      <sheetName val="Vzdrževanje"/>
      <sheetName val="Rekapitulacija Energ.Knjig."/>
      <sheetName val="CenikEK"/>
      <sheetName val="VzpostavitevEK"/>
      <sheetName val="LetniStroškiEK"/>
      <sheetName val="Kalkulacija JR Izola (podatki G"/>
      <sheetName val="V1_-_Občina"/>
      <sheetName val="V_2_-_Koncesija"/>
      <sheetName val="Priloga_1-Last_fin__JR_Izola"/>
      <sheetName val="Priloga_2-Javno-zasebno_part_"/>
      <sheetName val="EKONOMIKA_JR_Izola"/>
      <sheetName val="POTENCIAL_JR_Izola_-_po_FT"/>
      <sheetName val="Finančni_tokovi"/>
      <sheetName val="Zbirna_tabela"/>
      <sheetName val="Rekapitulacija_Energ_Knjig_"/>
      <sheetName val="Kalkulacija_JR_Izola_(podatki_G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>
        <row r="1">
          <cell r="W1">
            <v>1.1000000000000001</v>
          </cell>
          <cell r="X1">
            <v>4000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ABA ENERGENTOV"/>
      <sheetName val="ZAINTERESIRANOST"/>
      <sheetName val="Emisije"/>
      <sheetName val="NAPOTKI"/>
      <sheetName val="tehn_povzetek"/>
      <sheetName val="ekon_povzetek"/>
      <sheetName val="Biomasa"/>
      <sheetName val="Toplotna krivulja"/>
      <sheetName val="Vloga"/>
      <sheetName val="Kazalci"/>
      <sheetName val="Invest"/>
      <sheetName val="Obrat_stroški"/>
      <sheetName val="Tarifni pravilnik"/>
      <sheetName val="Ekonomski izračun"/>
      <sheetName val="Analiza občutlj"/>
      <sheetName val="Graf"/>
      <sheetName val="Ostali_Ekon_Kazalci"/>
      <sheetName val="PORABA_ENERGENTOV"/>
      <sheetName val="Toplotna_krivulja"/>
      <sheetName val="Tarifni_pravilnik"/>
      <sheetName val="Ekonomski_izračun"/>
      <sheetName val="Analiza_občutlj"/>
    </sheetNames>
    <sheetDataSet>
      <sheetData sheetId="0"/>
      <sheetData sheetId="1"/>
      <sheetData sheetId="2"/>
      <sheetData sheetId="3"/>
      <sheetData sheetId="4"/>
      <sheetData sheetId="5">
        <row r="11">
          <cell r="D11">
            <v>1</v>
          </cell>
        </row>
        <row r="12">
          <cell r="D12">
            <v>1</v>
          </cell>
        </row>
        <row r="13">
          <cell r="D13">
            <v>1</v>
          </cell>
        </row>
        <row r="14">
          <cell r="D14">
            <v>575.97063552000066</v>
          </cell>
        </row>
        <row r="15">
          <cell r="D15">
            <v>706.44207552000069</v>
          </cell>
        </row>
        <row r="16">
          <cell r="D16">
            <v>831.10832414117726</v>
          </cell>
        </row>
        <row r="18">
          <cell r="D18">
            <v>1</v>
          </cell>
        </row>
        <row r="19">
          <cell r="D19">
            <v>1</v>
          </cell>
        </row>
        <row r="20">
          <cell r="D20">
            <v>1</v>
          </cell>
        </row>
        <row r="27">
          <cell r="D27">
            <v>2882.3638645204032</v>
          </cell>
        </row>
        <row r="28">
          <cell r="D28">
            <v>90</v>
          </cell>
        </row>
        <row r="29">
          <cell r="D29">
            <v>400</v>
          </cell>
        </row>
        <row r="30">
          <cell r="D30">
            <v>25</v>
          </cell>
        </row>
        <row r="31">
          <cell r="D31">
            <v>20</v>
          </cell>
        </row>
        <row r="32">
          <cell r="D32">
            <v>4.3050350214515337E-3</v>
          </cell>
        </row>
        <row r="33">
          <cell r="D33">
            <v>10.935913561762264</v>
          </cell>
        </row>
        <row r="34">
          <cell r="D34" t="str">
            <v>-</v>
          </cell>
        </row>
        <row r="35">
          <cell r="D35">
            <v>35000000</v>
          </cell>
        </row>
        <row r="36">
          <cell r="D36">
            <v>659206.24018256285</v>
          </cell>
        </row>
        <row r="37">
          <cell r="D37">
            <v>0</v>
          </cell>
        </row>
        <row r="39">
          <cell r="D39">
            <v>-2890400</v>
          </cell>
        </row>
        <row r="40">
          <cell r="D40">
            <v>1.0999999999999999E-2</v>
          </cell>
        </row>
        <row r="42">
          <cell r="D42">
            <v>15</v>
          </cell>
        </row>
        <row r="43">
          <cell r="D43">
            <v>38596</v>
          </cell>
        </row>
        <row r="44">
          <cell r="D44">
            <v>8027400</v>
          </cell>
        </row>
        <row r="50">
          <cell r="E50">
            <v>10000000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 t="str">
            <v>-</v>
          </cell>
        </row>
        <row r="54">
          <cell r="E54">
            <v>0</v>
          </cell>
        </row>
        <row r="55">
          <cell r="E55" t="str">
            <v>-</v>
          </cell>
        </row>
        <row r="56">
          <cell r="E56">
            <v>0</v>
          </cell>
        </row>
        <row r="57">
          <cell r="E57">
            <v>2000000</v>
          </cell>
        </row>
        <row r="58">
          <cell r="E58">
            <v>0</v>
          </cell>
        </row>
        <row r="59">
          <cell r="E59">
            <v>0</v>
          </cell>
        </row>
        <row r="60">
          <cell r="E60">
            <v>0</v>
          </cell>
        </row>
        <row r="63">
          <cell r="E63">
            <v>14586000</v>
          </cell>
        </row>
        <row r="64">
          <cell r="E64">
            <v>1621000</v>
          </cell>
        </row>
        <row r="65">
          <cell r="E65">
            <v>8130000</v>
          </cell>
        </row>
        <row r="68">
          <cell r="E68">
            <v>800000</v>
          </cell>
        </row>
        <row r="69">
          <cell r="E69">
            <v>0</v>
          </cell>
        </row>
        <row r="70">
          <cell r="E70">
            <v>1000000</v>
          </cell>
        </row>
        <row r="71">
          <cell r="E71" t="str">
            <v>-</v>
          </cell>
        </row>
        <row r="73">
          <cell r="E73">
            <v>0</v>
          </cell>
        </row>
        <row r="74">
          <cell r="E74">
            <v>2000000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p_svetilke"/>
      <sheetName val="OM_HOCE"/>
      <sheetName val="Popis"/>
      <sheetName val="Komplet"/>
      <sheetName val="RekapKol"/>
      <sheetName val="PopisDELO"/>
      <sheetName val="KalkulacijaEK"/>
      <sheetName val="CenikEK"/>
      <sheetName val="VzpostavitevEK"/>
      <sheetName val="LetniStroškiEK"/>
      <sheetName val="Vzdrževanje"/>
      <sheetName val="Kalkulacija"/>
      <sheetName val="Ponudba"/>
      <sheetName val="Ponudba (2)"/>
      <sheetName val="TerminskiPlan"/>
      <sheetName val="Ponudba_(2)"/>
    </sheetNames>
    <sheetDataSet>
      <sheetData sheetId="0"/>
      <sheetData sheetId="1">
        <row r="1">
          <cell r="Y1">
            <v>4000</v>
          </cell>
        </row>
      </sheetData>
      <sheetData sheetId="2">
        <row r="1">
          <cell r="H1">
            <v>1.25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8">
          <cell r="H38">
            <v>94.89</v>
          </cell>
        </row>
      </sheetData>
      <sheetData sheetId="14"/>
      <sheetData sheetId="15">
        <row r="38">
          <cell r="H38">
            <v>94.89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abaEE-OM"/>
      <sheetName val="HOCE_SVETILKE_point"/>
      <sheetName val="Kalkulacija"/>
      <sheetName val="cenik EK"/>
      <sheetName val="Vzpostavitev EK"/>
      <sheetName val="Letni strošek EK"/>
      <sheetName val="cenik_EK"/>
      <sheetName val="Vzpostavitev_EK"/>
      <sheetName val="Letni_strošek_EK"/>
    </sheetNames>
    <sheetDataSet>
      <sheetData sheetId="0"/>
      <sheetData sheetId="1">
        <row r="1">
          <cell r="W1">
            <v>1.25</v>
          </cell>
          <cell r="X1">
            <v>4000</v>
          </cell>
          <cell r="AM1">
            <v>1.1499999999999999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Rates"/>
      <sheetName val="Kurs walut"/>
      <sheetName val="OFFER"/>
      <sheetName val="Pipe"/>
      <sheetName val="zbiorczy (new)"/>
      <sheetName val="Kurs_walut"/>
      <sheetName val="zbiorczy_(new)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L EOL2 - Seznam objektov in p"/>
      <sheetName val="Elektro del"/>
    </sheetNames>
    <sheetDataSet>
      <sheetData sheetId="0" refreshError="1"/>
      <sheetData sheetId="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aslov"/>
      <sheetName val="Kazalo"/>
      <sheetName val="1.1. Bilanca stanja"/>
      <sheetName val="1.2. Izkaz poslovnega izida"/>
      <sheetName val="2. Investicija"/>
      <sheetName val="3.1. Prodaja"/>
      <sheetName val="3.2. Stroški"/>
      <sheetName val="3.3. Kratkoročna sredstva"/>
      <sheetName val="3.4. Obveznosti"/>
      <sheetName val="4. Poslovni izid"/>
      <sheetName val="5. Bilanca stanja"/>
      <sheetName val="6. Denarni izid"/>
      <sheetName val="7. Kazalniki"/>
      <sheetName val="Konstante"/>
      <sheetName val="AnuitetniNačrt"/>
      <sheetName val="TestniIzračunPlač"/>
      <sheetName val="Testiranje"/>
      <sheetName val="1_1__Bilanca_stanja"/>
      <sheetName val="1_2__Izkaz_poslovnega_izida"/>
      <sheetName val="2__Investicija"/>
      <sheetName val="3_1__Prodaja"/>
      <sheetName val="3_2__Stroški"/>
      <sheetName val="3_3__Kratkoročna_sredstva"/>
      <sheetName val="3_4__Obveznosti"/>
      <sheetName val="4__Poslovni_izid"/>
      <sheetName val="5__Bilanca_stanja"/>
      <sheetName val="6__Denarni_izid"/>
      <sheetName val="7__Kazalnik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6">
          <cell r="C6">
            <v>2008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p_svetilke"/>
      <sheetName val="RacunVzdrz"/>
      <sheetName val="RacunElektro"/>
      <sheetName val="Popis"/>
      <sheetName val="Kalkulacija"/>
      <sheetName val="Vzdrževanje"/>
      <sheetName val="Zbirna tabela"/>
      <sheetName val="Amort. načrt"/>
      <sheetName val="Finančni tokovi"/>
      <sheetName val="V1"/>
      <sheetName val="V2"/>
      <sheetName val="V 3 - Koncesija"/>
      <sheetName val="Ekonomika Petrol 1"/>
      <sheetName val="Ekonomika Petrol 2"/>
      <sheetName val="Zbirna_tabela"/>
      <sheetName val="Amort__načrt"/>
      <sheetName val="Finančni_tokovi"/>
      <sheetName val="V_3_-_Koncesija"/>
      <sheetName val="Ekonomika_Petrol_1"/>
      <sheetName val="Ekonomika_Petrol_2"/>
    </sheetNames>
    <sheetDataSet>
      <sheetData sheetId="0"/>
      <sheetData sheetId="1"/>
      <sheetData sheetId="2"/>
      <sheetData sheetId="3">
        <row r="6">
          <cell r="M6">
            <v>45</v>
          </cell>
          <cell r="N6">
            <v>4</v>
          </cell>
          <cell r="O6" t="str">
            <v>Kaos-250</v>
          </cell>
          <cell r="P6" t="str">
            <v>HQI</v>
          </cell>
        </row>
        <row r="7">
          <cell r="M7">
            <v>6</v>
          </cell>
          <cell r="N7">
            <v>4</v>
          </cell>
          <cell r="O7" t="str">
            <v>Kaos-250</v>
          </cell>
          <cell r="P7" t="str">
            <v>HQI</v>
          </cell>
        </row>
        <row r="8">
          <cell r="M8">
            <v>2</v>
          </cell>
          <cell r="N8">
            <v>2</v>
          </cell>
          <cell r="O8" t="str">
            <v>Kaos-70</v>
          </cell>
          <cell r="P8" t="str">
            <v>HQI</v>
          </cell>
        </row>
        <row r="9">
          <cell r="M9">
            <v>4</v>
          </cell>
          <cell r="N9">
            <v>0</v>
          </cell>
          <cell r="O9" t="str">
            <v>TARTINI2</v>
          </cell>
          <cell r="P9">
            <v>0</v>
          </cell>
        </row>
        <row r="10">
          <cell r="M10">
            <v>8</v>
          </cell>
          <cell r="N10">
            <v>0</v>
          </cell>
          <cell r="O10" t="str">
            <v>TARTINI3</v>
          </cell>
          <cell r="P10">
            <v>0</v>
          </cell>
        </row>
        <row r="11">
          <cell r="M11">
            <v>6</v>
          </cell>
          <cell r="N11">
            <v>3</v>
          </cell>
          <cell r="O11" t="str">
            <v>Kaos-150</v>
          </cell>
          <cell r="P11" t="str">
            <v>HQI</v>
          </cell>
        </row>
        <row r="12">
          <cell r="M12">
            <v>63</v>
          </cell>
          <cell r="N12">
            <v>3</v>
          </cell>
          <cell r="O12" t="str">
            <v>Kaos-150</v>
          </cell>
          <cell r="P12" t="str">
            <v>HQI</v>
          </cell>
        </row>
        <row r="13">
          <cell r="M13">
            <v>4</v>
          </cell>
          <cell r="N13">
            <v>7</v>
          </cell>
          <cell r="O13" t="str">
            <v>LSL 30S</v>
          </cell>
          <cell r="P13" t="str">
            <v>LED</v>
          </cell>
        </row>
        <row r="14">
          <cell r="M14">
            <v>58</v>
          </cell>
          <cell r="N14">
            <v>7</v>
          </cell>
          <cell r="O14" t="str">
            <v>LSL 30S</v>
          </cell>
          <cell r="P14" t="str">
            <v>LED</v>
          </cell>
        </row>
        <row r="15">
          <cell r="M15">
            <v>4</v>
          </cell>
          <cell r="N15">
            <v>7</v>
          </cell>
          <cell r="O15" t="str">
            <v>LSL 30S</v>
          </cell>
          <cell r="P15" t="str">
            <v>LED</v>
          </cell>
        </row>
        <row r="16">
          <cell r="M16">
            <v>120</v>
          </cell>
          <cell r="N16">
            <v>7</v>
          </cell>
          <cell r="O16" t="str">
            <v>LSL 30S</v>
          </cell>
          <cell r="P16" t="str">
            <v>LED</v>
          </cell>
        </row>
        <row r="17">
          <cell r="M17">
            <v>20</v>
          </cell>
          <cell r="N17">
            <v>7</v>
          </cell>
          <cell r="O17" t="str">
            <v>LSL 30S</v>
          </cell>
          <cell r="P17" t="str">
            <v>LED</v>
          </cell>
        </row>
        <row r="18">
          <cell r="M18">
            <v>75</v>
          </cell>
          <cell r="N18">
            <v>7</v>
          </cell>
          <cell r="O18" t="str">
            <v>LSL 30S</v>
          </cell>
          <cell r="P18" t="str">
            <v>LED</v>
          </cell>
        </row>
        <row r="19">
          <cell r="M19">
            <v>20</v>
          </cell>
          <cell r="N19">
            <v>7</v>
          </cell>
          <cell r="O19" t="str">
            <v>LSL 30S</v>
          </cell>
          <cell r="P19" t="str">
            <v>LED</v>
          </cell>
        </row>
        <row r="20">
          <cell r="M20">
            <v>3</v>
          </cell>
          <cell r="N20">
            <v>7</v>
          </cell>
          <cell r="O20" t="str">
            <v>LSL 30S</v>
          </cell>
          <cell r="P20" t="str">
            <v>LED</v>
          </cell>
        </row>
        <row r="21">
          <cell r="M21">
            <v>3</v>
          </cell>
          <cell r="N21">
            <v>7</v>
          </cell>
          <cell r="O21" t="str">
            <v>LSL 30S</v>
          </cell>
          <cell r="P21" t="str">
            <v>LED</v>
          </cell>
        </row>
        <row r="22">
          <cell r="M22">
            <v>37</v>
          </cell>
          <cell r="N22">
            <v>7</v>
          </cell>
          <cell r="O22" t="str">
            <v>LSL 30S</v>
          </cell>
          <cell r="P22" t="str">
            <v>LED</v>
          </cell>
        </row>
        <row r="23">
          <cell r="M23">
            <v>59</v>
          </cell>
          <cell r="N23">
            <v>7</v>
          </cell>
          <cell r="O23" t="str">
            <v>LSL 30S</v>
          </cell>
          <cell r="P23" t="str">
            <v>LED</v>
          </cell>
        </row>
        <row r="24">
          <cell r="M24">
            <v>147</v>
          </cell>
          <cell r="N24">
            <v>2</v>
          </cell>
          <cell r="O24" t="str">
            <v>Kaos-70</v>
          </cell>
          <cell r="P24" t="str">
            <v>HQI</v>
          </cell>
        </row>
        <row r="25">
          <cell r="M25">
            <v>36</v>
          </cell>
          <cell r="N25">
            <v>2</v>
          </cell>
          <cell r="O25" t="str">
            <v>Kaos-70</v>
          </cell>
          <cell r="P25" t="str">
            <v>HQI</v>
          </cell>
        </row>
        <row r="26">
          <cell r="M26">
            <v>13</v>
          </cell>
          <cell r="N26">
            <v>2</v>
          </cell>
          <cell r="O26" t="str">
            <v>Kaos-70</v>
          </cell>
          <cell r="P26" t="str">
            <v>HQI</v>
          </cell>
        </row>
        <row r="27">
          <cell r="M27">
            <v>113</v>
          </cell>
          <cell r="N27">
            <v>2</v>
          </cell>
          <cell r="O27" t="str">
            <v>Kaos-70</v>
          </cell>
          <cell r="P27" t="str">
            <v>HQI</v>
          </cell>
        </row>
        <row r="28">
          <cell r="M28">
            <v>6</v>
          </cell>
          <cell r="N28">
            <v>2</v>
          </cell>
          <cell r="O28" t="str">
            <v>Kaos-70</v>
          </cell>
          <cell r="P28" t="str">
            <v>HQI</v>
          </cell>
        </row>
        <row r="29">
          <cell r="M29">
            <v>1</v>
          </cell>
          <cell r="N29">
            <v>2</v>
          </cell>
          <cell r="O29" t="str">
            <v>Kaos-70</v>
          </cell>
          <cell r="P29" t="str">
            <v>HQI</v>
          </cell>
        </row>
        <row r="30">
          <cell r="M30">
            <v>47</v>
          </cell>
          <cell r="N30">
            <v>7</v>
          </cell>
          <cell r="O30" t="str">
            <v>LSL 30S</v>
          </cell>
          <cell r="P30" t="str">
            <v>LED</v>
          </cell>
        </row>
        <row r="31">
          <cell r="M31">
            <v>47</v>
          </cell>
          <cell r="N31">
            <v>7</v>
          </cell>
          <cell r="O31" t="str">
            <v>LSL 30S</v>
          </cell>
          <cell r="P31" t="str">
            <v>LED</v>
          </cell>
        </row>
        <row r="32">
          <cell r="M32">
            <v>5</v>
          </cell>
          <cell r="N32">
            <v>7</v>
          </cell>
          <cell r="O32" t="str">
            <v>LSL 30S</v>
          </cell>
          <cell r="P32" t="str">
            <v>LED</v>
          </cell>
        </row>
        <row r="33">
          <cell r="M33">
            <v>236</v>
          </cell>
          <cell r="N33">
            <v>2</v>
          </cell>
          <cell r="O33" t="str">
            <v>Kaos-70</v>
          </cell>
          <cell r="P33" t="str">
            <v>HQI</v>
          </cell>
        </row>
        <row r="34">
          <cell r="M34">
            <v>117</v>
          </cell>
          <cell r="N34">
            <v>2</v>
          </cell>
          <cell r="O34" t="str">
            <v>Kaos-70</v>
          </cell>
          <cell r="P34" t="str">
            <v>HQI</v>
          </cell>
        </row>
        <row r="35">
          <cell r="M35">
            <v>57</v>
          </cell>
          <cell r="N35">
            <v>2</v>
          </cell>
          <cell r="O35" t="str">
            <v>Kaos-70</v>
          </cell>
          <cell r="P35" t="str">
            <v>HQI</v>
          </cell>
        </row>
        <row r="36">
          <cell r="M36">
            <v>115</v>
          </cell>
          <cell r="N36">
            <v>2</v>
          </cell>
          <cell r="O36" t="str">
            <v>Kaos-70</v>
          </cell>
          <cell r="P36" t="str">
            <v>HQI</v>
          </cell>
        </row>
        <row r="37">
          <cell r="M37">
            <v>36</v>
          </cell>
          <cell r="N37">
            <v>2</v>
          </cell>
          <cell r="O37" t="str">
            <v>Kaos-70</v>
          </cell>
          <cell r="P37" t="str">
            <v>HQI</v>
          </cell>
        </row>
        <row r="38">
          <cell r="M38">
            <v>14</v>
          </cell>
          <cell r="N38">
            <v>2</v>
          </cell>
          <cell r="O38" t="str">
            <v>Kaos-70</v>
          </cell>
          <cell r="P38" t="str">
            <v>HQI</v>
          </cell>
        </row>
        <row r="39">
          <cell r="M39">
            <v>219</v>
          </cell>
          <cell r="N39">
            <v>7</v>
          </cell>
          <cell r="O39" t="str">
            <v>LSL 30S</v>
          </cell>
          <cell r="P39" t="str">
            <v>LED</v>
          </cell>
        </row>
        <row r="40">
          <cell r="M40">
            <v>4</v>
          </cell>
          <cell r="N40">
            <v>7</v>
          </cell>
          <cell r="O40" t="str">
            <v>LSL 30S</v>
          </cell>
          <cell r="P40" t="str">
            <v>LED</v>
          </cell>
        </row>
        <row r="41">
          <cell r="M41">
            <v>105</v>
          </cell>
          <cell r="N41">
            <v>0</v>
          </cell>
          <cell r="O41" t="str">
            <v>STARINSKA</v>
          </cell>
          <cell r="P41">
            <v>0</v>
          </cell>
        </row>
        <row r="42">
          <cell r="M42">
            <v>21</v>
          </cell>
          <cell r="N42">
            <v>7</v>
          </cell>
          <cell r="O42" t="str">
            <v>LSL 30S</v>
          </cell>
          <cell r="P42" t="str">
            <v>LED</v>
          </cell>
        </row>
        <row r="43">
          <cell r="M43">
            <v>15</v>
          </cell>
          <cell r="N43">
            <v>7</v>
          </cell>
          <cell r="O43" t="str">
            <v>LSL 30S</v>
          </cell>
          <cell r="P43" t="str">
            <v>LED</v>
          </cell>
        </row>
        <row r="44">
          <cell r="M44">
            <v>5</v>
          </cell>
          <cell r="N44">
            <v>0</v>
          </cell>
          <cell r="O44" t="str">
            <v>OKROGLA LADIJSKA</v>
          </cell>
          <cell r="P44">
            <v>0</v>
          </cell>
        </row>
        <row r="45">
          <cell r="M45">
            <v>4</v>
          </cell>
          <cell r="N45">
            <v>0</v>
          </cell>
          <cell r="O45" t="str">
            <v>OVALNA LADIJSKA</v>
          </cell>
          <cell r="P45">
            <v>0</v>
          </cell>
        </row>
        <row r="46">
          <cell r="M46">
            <v>6</v>
          </cell>
          <cell r="N46">
            <v>7</v>
          </cell>
          <cell r="O46" t="str">
            <v>LSL 30S</v>
          </cell>
          <cell r="P46" t="str">
            <v>LED</v>
          </cell>
        </row>
        <row r="47">
          <cell r="M47">
            <v>1269</v>
          </cell>
          <cell r="N47">
            <v>6</v>
          </cell>
          <cell r="O47" t="str">
            <v>LSL 15</v>
          </cell>
          <cell r="P47" t="str">
            <v>LED</v>
          </cell>
        </row>
        <row r="48">
          <cell r="M48">
            <v>85</v>
          </cell>
          <cell r="N48">
            <v>2</v>
          </cell>
          <cell r="O48" t="str">
            <v>Kaos-70</v>
          </cell>
          <cell r="P48" t="str">
            <v>HQI</v>
          </cell>
        </row>
        <row r="49">
          <cell r="M49">
            <v>17</v>
          </cell>
          <cell r="N49">
            <v>0</v>
          </cell>
          <cell r="O49" t="str">
            <v>TARTINI</v>
          </cell>
          <cell r="P49">
            <v>0</v>
          </cell>
        </row>
        <row r="50">
          <cell r="M50">
            <v>13</v>
          </cell>
          <cell r="N50">
            <v>0</v>
          </cell>
          <cell r="O50" t="str">
            <v>CX3</v>
          </cell>
          <cell r="P50">
            <v>0</v>
          </cell>
        </row>
        <row r="51">
          <cell r="M51">
            <v>78</v>
          </cell>
          <cell r="N51">
            <v>0</v>
          </cell>
          <cell r="O51" t="str">
            <v>CX4</v>
          </cell>
          <cell r="P51">
            <v>0</v>
          </cell>
        </row>
        <row r="52">
          <cell r="M52">
            <v>13</v>
          </cell>
          <cell r="N52">
            <v>0</v>
          </cell>
          <cell r="O52" t="str">
            <v>EOS</v>
          </cell>
          <cell r="P52">
            <v>0</v>
          </cell>
        </row>
        <row r="53">
          <cell r="M53">
            <v>3</v>
          </cell>
          <cell r="N53">
            <v>0</v>
          </cell>
          <cell r="O53" t="str">
            <v>INSERTY2 FV</v>
          </cell>
          <cell r="P53">
            <v>0</v>
          </cell>
        </row>
        <row r="54">
          <cell r="M54">
            <v>12</v>
          </cell>
          <cell r="N54">
            <v>0</v>
          </cell>
          <cell r="O54" t="str">
            <v>INSERTY2 GO</v>
          </cell>
          <cell r="P54">
            <v>0</v>
          </cell>
        </row>
        <row r="55">
          <cell r="M55">
            <v>27</v>
          </cell>
          <cell r="N55">
            <v>0</v>
          </cell>
          <cell r="O55" t="str">
            <v>NT3</v>
          </cell>
          <cell r="P55">
            <v>0</v>
          </cell>
        </row>
        <row r="56">
          <cell r="M56">
            <v>11</v>
          </cell>
          <cell r="N56">
            <v>0</v>
          </cell>
          <cell r="O56" t="str">
            <v>NT4</v>
          </cell>
          <cell r="P56">
            <v>0</v>
          </cell>
        </row>
        <row r="57">
          <cell r="M57">
            <v>10</v>
          </cell>
          <cell r="N57">
            <v>0</v>
          </cell>
          <cell r="O57" t="str">
            <v>NT5</v>
          </cell>
          <cell r="P57">
            <v>0</v>
          </cell>
        </row>
        <row r="58">
          <cell r="M58">
            <v>2</v>
          </cell>
          <cell r="N58">
            <v>0</v>
          </cell>
          <cell r="O58" t="str">
            <v>REFLEKTOR</v>
          </cell>
          <cell r="P58">
            <v>0</v>
          </cell>
        </row>
        <row r="59">
          <cell r="M59">
            <v>5</v>
          </cell>
          <cell r="N59">
            <v>0</v>
          </cell>
          <cell r="O59" t="str">
            <v>REFLEKTOR</v>
          </cell>
          <cell r="P59">
            <v>0</v>
          </cell>
        </row>
        <row r="60">
          <cell r="M60">
            <v>1</v>
          </cell>
          <cell r="N60">
            <v>0</v>
          </cell>
          <cell r="O60" t="str">
            <v>REFLEKTOR</v>
          </cell>
          <cell r="P60">
            <v>0</v>
          </cell>
        </row>
        <row r="61">
          <cell r="M61">
            <v>4</v>
          </cell>
          <cell r="N61">
            <v>0</v>
          </cell>
          <cell r="O61" t="str">
            <v>REFLEKTOR</v>
          </cell>
          <cell r="P61">
            <v>0</v>
          </cell>
        </row>
        <row r="62">
          <cell r="M62">
            <v>4</v>
          </cell>
          <cell r="N62">
            <v>0</v>
          </cell>
          <cell r="O62" t="str">
            <v>REFLEKTOR</v>
          </cell>
          <cell r="P62">
            <v>0</v>
          </cell>
        </row>
        <row r="63">
          <cell r="M63">
            <v>50</v>
          </cell>
          <cell r="N63">
            <v>0</v>
          </cell>
          <cell r="O63" t="str">
            <v>TUNEL</v>
          </cell>
          <cell r="P63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ERGENTI"/>
      <sheetName val="Program"/>
      <sheetName val="UKREPI - splošno"/>
      <sheetName val="UPRAVLJANJE"/>
      <sheetName val="OB01"/>
      <sheetName val="OB02"/>
      <sheetName val="OB03"/>
      <sheetName val="OB04"/>
      <sheetName val="OB05"/>
      <sheetName val="OB06"/>
      <sheetName val="OB07"/>
      <sheetName val="OB08"/>
      <sheetName val="OB09"/>
      <sheetName val="OB10"/>
      <sheetName val="OB11"/>
      <sheetName val="OB12"/>
      <sheetName val="OB13"/>
      <sheetName val="OB14"/>
      <sheetName val="OB15"/>
      <sheetName val="OB16"/>
      <sheetName val="OB17"/>
      <sheetName val="OB18"/>
      <sheetName val="OB19"/>
      <sheetName val="OB20"/>
      <sheetName val="OB21"/>
      <sheetName val="OB22"/>
      <sheetName val="OB23"/>
      <sheetName val="OB24"/>
      <sheetName val="OB25"/>
      <sheetName val="OB26"/>
      <sheetName val="OB27"/>
      <sheetName val="OB28"/>
      <sheetName val="OB29"/>
      <sheetName val="OB30"/>
      <sheetName val="OB31"/>
      <sheetName val="OB32"/>
      <sheetName val="OB33"/>
      <sheetName val="OB34"/>
      <sheetName val="OB35"/>
      <sheetName val="OB36"/>
      <sheetName val="OB37"/>
      <sheetName val="OB38"/>
      <sheetName val="SKUPAJ"/>
      <sheetName val="VZOREC OBRAČUNA - TOPLOTA"/>
      <sheetName val="VZOREC OBRAČUNA - EL. ENERGIJA"/>
      <sheetName val="VZOREC OBRAČUNA - SKUPAJ"/>
    </sheetNames>
    <sheetDataSet>
      <sheetData sheetId="0" refreshError="1">
        <row r="9">
          <cell r="A9" t="str">
            <v>OB01</v>
          </cell>
          <cell r="B9" t="str">
            <v>Občinska stavba MO Kranj</v>
          </cell>
          <cell r="C9" t="str">
            <v>Slovenski trg 1, 4000 Kranj</v>
          </cell>
          <cell r="D9">
            <v>9320</v>
          </cell>
          <cell r="E9">
            <v>1937</v>
          </cell>
          <cell r="F9" t="str">
            <v>raba v kWh</v>
          </cell>
          <cell r="G9">
            <v>527915.66666666674</v>
          </cell>
          <cell r="H9">
            <v>501385</v>
          </cell>
          <cell r="I9">
            <v>474136</v>
          </cell>
          <cell r="J9">
            <v>462994.66666666669</v>
          </cell>
          <cell r="K9">
            <v>491607.83333333337</v>
          </cell>
          <cell r="L9">
            <v>52.747621602288987</v>
          </cell>
          <cell r="M9">
            <v>491607.83333333337</v>
          </cell>
          <cell r="N9">
            <v>50933.002500000002</v>
          </cell>
          <cell r="O9">
            <v>52.747621602288987</v>
          </cell>
          <cell r="P9">
            <v>103.60494493069848</v>
          </cell>
          <cell r="Q9">
            <v>0</v>
          </cell>
          <cell r="R9" t="str">
            <v>ZP</v>
          </cell>
          <cell r="S9" t="str">
            <v>raba v kWh</v>
          </cell>
          <cell r="T9">
            <v>0</v>
          </cell>
          <cell r="U9">
            <v>700174.24</v>
          </cell>
          <cell r="V9">
            <v>841519.3600000001</v>
          </cell>
          <cell r="W9">
            <v>932256.6399999999</v>
          </cell>
          <cell r="X9">
            <v>618487.56000000006</v>
          </cell>
          <cell r="Y9">
            <v>66.361326180257521</v>
          </cell>
          <cell r="Z9">
            <v>652770.82850599696</v>
          </cell>
          <cell r="AA9">
            <v>34620.811472588233</v>
          </cell>
          <cell r="AB9">
            <v>70.039788466308693</v>
          </cell>
          <cell r="AC9">
            <v>53.036701336401975</v>
          </cell>
          <cell r="AD9">
            <v>3916.6249710359816</v>
          </cell>
          <cell r="AE9">
            <v>89470.43894362422</v>
          </cell>
        </row>
        <row r="10">
          <cell r="A10">
            <v>0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 t="str">
            <v>stroški v €</v>
          </cell>
          <cell r="G10">
            <v>55368.920000000013</v>
          </cell>
          <cell r="H10">
            <v>51346.079999999994</v>
          </cell>
          <cell r="I10">
            <v>48493.640000000014</v>
          </cell>
          <cell r="J10">
            <v>48523.37</v>
          </cell>
          <cell r="K10">
            <v>50933.002500000002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 t="str">
            <v>stroški v €</v>
          </cell>
          <cell r="T10">
            <v>0</v>
          </cell>
          <cell r="U10">
            <v>40114.200000000004</v>
          </cell>
          <cell r="V10">
            <v>48884.67</v>
          </cell>
          <cell r="W10">
            <v>42211.290000000008</v>
          </cell>
          <cell r="X10">
            <v>32802.54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</row>
        <row r="11">
          <cell r="A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</row>
        <row r="12">
          <cell r="A12" t="str">
            <v>OB02</v>
          </cell>
          <cell r="B12" t="str">
            <v>Prešernovo gledališče Kranj</v>
          </cell>
          <cell r="C12" t="str">
            <v>Glavni trg 6, 4000 Kranj</v>
          </cell>
          <cell r="D12">
            <v>1477</v>
          </cell>
          <cell r="E12" t="str">
            <v>19.stoletje</v>
          </cell>
          <cell r="F12" t="str">
            <v>raba v kWh</v>
          </cell>
          <cell r="G12">
            <v>58967</v>
          </cell>
          <cell r="H12">
            <v>56237</v>
          </cell>
          <cell r="I12">
            <v>60963</v>
          </cell>
          <cell r="J12">
            <v>49881</v>
          </cell>
          <cell r="K12">
            <v>56512</v>
          </cell>
          <cell r="L12">
            <v>38.261340555179416</v>
          </cell>
          <cell r="M12">
            <v>56512</v>
          </cell>
          <cell r="N12">
            <v>7321.3000000000011</v>
          </cell>
          <cell r="O12">
            <v>38.261340555179416</v>
          </cell>
          <cell r="P12">
            <v>129.55301528878823</v>
          </cell>
          <cell r="Q12">
            <v>0</v>
          </cell>
          <cell r="R12" t="str">
            <v>ELKO</v>
          </cell>
          <cell r="S12" t="str">
            <v>raba v kWh</v>
          </cell>
          <cell r="T12">
            <v>256888.80000000002</v>
          </cell>
          <cell r="U12">
            <v>133570.08000000002</v>
          </cell>
          <cell r="V12">
            <v>220278.24</v>
          </cell>
          <cell r="W12">
            <v>243260.64</v>
          </cell>
          <cell r="X12">
            <v>213499.44</v>
          </cell>
          <cell r="Y12">
            <v>144.54938388625592</v>
          </cell>
          <cell r="Z12">
            <v>225333.88761184845</v>
          </cell>
          <cell r="AA12">
            <v>10404.621658529568</v>
          </cell>
          <cell r="AB12">
            <v>152.56187380626164</v>
          </cell>
          <cell r="AC12">
            <v>46.174242892627724</v>
          </cell>
          <cell r="AD12">
            <v>1352.0033256710908</v>
          </cell>
          <cell r="AE12">
            <v>1352.0033256710908</v>
          </cell>
        </row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 t="str">
            <v>stroški v €</v>
          </cell>
          <cell r="G13">
            <v>8269.2300000000014</v>
          </cell>
          <cell r="H13">
            <v>7335.12</v>
          </cell>
          <cell r="I13">
            <v>7311.9400000000005</v>
          </cell>
          <cell r="J13">
            <v>6368.9099999999989</v>
          </cell>
          <cell r="K13">
            <v>7321.3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 t="str">
            <v>stroški v €</v>
          </cell>
          <cell r="T13">
            <v>10951</v>
          </cell>
          <cell r="U13">
            <v>6366.8</v>
          </cell>
          <cell r="V13">
            <v>7967.53</v>
          </cell>
          <cell r="W13">
            <v>14147.37</v>
          </cell>
          <cell r="X13">
            <v>9858.1749999999993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</row>
        <row r="14">
          <cell r="A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</row>
        <row r="15">
          <cell r="A15" t="str">
            <v>OB03</v>
          </cell>
          <cell r="B15" t="str">
            <v>OŠ France Prešeren</v>
          </cell>
          <cell r="C15" t="str">
            <v>Kidričeva cesta 49, Kranj</v>
          </cell>
          <cell r="D15">
            <v>5747</v>
          </cell>
          <cell r="E15">
            <v>1968</v>
          </cell>
          <cell r="F15" t="str">
            <v>raba v kWh</v>
          </cell>
          <cell r="G15">
            <v>165706</v>
          </cell>
          <cell r="H15">
            <v>163925</v>
          </cell>
          <cell r="I15">
            <v>165543</v>
          </cell>
          <cell r="J15">
            <v>140991.81</v>
          </cell>
          <cell r="K15">
            <v>159041.45250000001</v>
          </cell>
          <cell r="L15">
            <v>27.673821559074302</v>
          </cell>
          <cell r="M15">
            <v>159041.45250000001</v>
          </cell>
          <cell r="N15">
            <v>19558.5275</v>
          </cell>
          <cell r="O15">
            <v>27.673821559074302</v>
          </cell>
          <cell r="P15">
            <v>122.97754574393112</v>
          </cell>
          <cell r="Q15">
            <v>0</v>
          </cell>
          <cell r="R15" t="str">
            <v>ZP</v>
          </cell>
          <cell r="S15" t="str">
            <v>raba v kWh</v>
          </cell>
          <cell r="T15">
            <v>716892.48</v>
          </cell>
          <cell r="U15">
            <v>756134.55999999994</v>
          </cell>
          <cell r="V15">
            <v>830144.15999999992</v>
          </cell>
          <cell r="W15">
            <v>854924.15999999992</v>
          </cell>
          <cell r="X15">
            <v>789523.84000000008</v>
          </cell>
          <cell r="Y15">
            <v>137.38017052375153</v>
          </cell>
          <cell r="Z15">
            <v>833287.7886210616</v>
          </cell>
          <cell r="AA15">
            <v>88272.011506468392</v>
          </cell>
          <cell r="AB15">
            <v>144.99526511589727</v>
          </cell>
          <cell r="AC15">
            <v>105.93220338983051</v>
          </cell>
          <cell r="AD15">
            <v>4999.7267317263695</v>
          </cell>
          <cell r="AE15">
            <v>93271.738238194768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 t="str">
            <v>stroški v €</v>
          </cell>
          <cell r="G16">
            <v>19572.97</v>
          </cell>
          <cell r="H16">
            <v>19055.54</v>
          </cell>
          <cell r="I16">
            <v>19139.940000000002</v>
          </cell>
          <cell r="J16">
            <v>20465.66</v>
          </cell>
          <cell r="K16">
            <v>19558.5275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 t="str">
            <v>stroški v €</v>
          </cell>
          <cell r="T16">
            <v>75942</v>
          </cell>
          <cell r="U16">
            <v>80099</v>
          </cell>
          <cell r="V16">
            <v>87939</v>
          </cell>
          <cell r="W16">
            <v>90564</v>
          </cell>
          <cell r="X16">
            <v>83636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</row>
        <row r="17">
          <cell r="A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</row>
        <row r="18">
          <cell r="A18" t="str">
            <v>OB04</v>
          </cell>
          <cell r="B18" t="str">
            <v>OŠ France Prešeren - POŠ Kokrica</v>
          </cell>
          <cell r="C18" t="str">
            <v>Cesta na Brdo 45a, 4000 Kranj</v>
          </cell>
          <cell r="D18">
            <v>1312</v>
          </cell>
          <cell r="E18">
            <v>1973</v>
          </cell>
          <cell r="F18" t="str">
            <v>raba v kWh</v>
          </cell>
          <cell r="G18">
            <v>73479</v>
          </cell>
          <cell r="H18">
            <v>82474</v>
          </cell>
          <cell r="I18">
            <v>72829</v>
          </cell>
          <cell r="J18">
            <v>74428</v>
          </cell>
          <cell r="K18">
            <v>75802.5</v>
          </cell>
          <cell r="L18">
            <v>57.776295731707314</v>
          </cell>
          <cell r="M18">
            <v>75802.5</v>
          </cell>
          <cell r="N18">
            <v>6626.8125</v>
          </cell>
          <cell r="O18">
            <v>57.776295731707314</v>
          </cell>
          <cell r="P18">
            <v>87.422083704363317</v>
          </cell>
          <cell r="Q18">
            <v>0</v>
          </cell>
          <cell r="R18" t="str">
            <v>ELKO</v>
          </cell>
          <cell r="S18" t="str">
            <v>raba v kWh</v>
          </cell>
          <cell r="T18">
            <v>205410.24</v>
          </cell>
          <cell r="U18">
            <v>97171.199999999997</v>
          </cell>
          <cell r="V18">
            <v>233614.07999999999</v>
          </cell>
          <cell r="W18">
            <v>69007.680000000008</v>
          </cell>
          <cell r="X18">
            <v>151300.80000000002</v>
          </cell>
          <cell r="Y18">
            <v>115.32073170731708</v>
          </cell>
          <cell r="Z18">
            <v>159687.52640654589</v>
          </cell>
          <cell r="AA18">
            <v>10558.002141481616</v>
          </cell>
          <cell r="AB18">
            <v>121.71305366352583</v>
          </cell>
          <cell r="AC18">
            <v>66.11663652802892</v>
          </cell>
          <cell r="AD18">
            <v>958.12515843927531</v>
          </cell>
          <cell r="AE18">
            <v>11516.127299920892</v>
          </cell>
        </row>
        <row r="19">
          <cell r="A19">
            <v>0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 t="str">
            <v>stroški v €</v>
          </cell>
          <cell r="G19">
            <v>6560.2300000000005</v>
          </cell>
          <cell r="H19">
            <v>7952.4100000000008</v>
          </cell>
          <cell r="I19">
            <v>6601.88</v>
          </cell>
          <cell r="J19">
            <v>5392.7300000000005</v>
          </cell>
          <cell r="K19">
            <v>6626.8125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 t="str">
            <v>stroški v €</v>
          </cell>
          <cell r="T19">
            <v>13159</v>
          </cell>
          <cell r="U19">
            <v>8000</v>
          </cell>
          <cell r="V19">
            <v>12009</v>
          </cell>
          <cell r="W19">
            <v>6846</v>
          </cell>
          <cell r="X19">
            <v>10003.5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</row>
        <row r="20">
          <cell r="A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</row>
        <row r="21">
          <cell r="A21" t="str">
            <v>OB05</v>
          </cell>
          <cell r="B21" t="str">
            <v>OŠ Helene Puhar</v>
          </cell>
          <cell r="C21" t="str">
            <v>Kidričeva cesta 51, 4000 Kranj</v>
          </cell>
          <cell r="D21">
            <v>2247</v>
          </cell>
          <cell r="E21">
            <v>1974</v>
          </cell>
          <cell r="F21" t="str">
            <v>raba v kWh</v>
          </cell>
          <cell r="G21">
            <v>86748</v>
          </cell>
          <cell r="H21">
            <v>92519</v>
          </cell>
          <cell r="I21">
            <v>88188</v>
          </cell>
          <cell r="J21">
            <v>89773</v>
          </cell>
          <cell r="K21">
            <v>89307</v>
          </cell>
          <cell r="L21">
            <v>39.744993324432578</v>
          </cell>
          <cell r="M21">
            <v>89307</v>
          </cell>
          <cell r="N21">
            <v>10341.877500000001</v>
          </cell>
          <cell r="O21">
            <v>39.744993324432578</v>
          </cell>
          <cell r="P21">
            <v>115.80142094124761</v>
          </cell>
          <cell r="Q21">
            <v>0</v>
          </cell>
          <cell r="R21" t="str">
            <v>ZP</v>
          </cell>
          <cell r="S21" t="str">
            <v>raba v kWh</v>
          </cell>
          <cell r="T21">
            <v>286862.71999999997</v>
          </cell>
          <cell r="U21">
            <v>207746.08000000002</v>
          </cell>
          <cell r="V21">
            <v>254974.39999999997</v>
          </cell>
          <cell r="W21">
            <v>268303.68</v>
          </cell>
          <cell r="X21">
            <v>254471.71999999997</v>
          </cell>
          <cell r="Y21">
            <v>113.24954161103693</v>
          </cell>
          <cell r="Z21">
            <v>268577.29441760486</v>
          </cell>
          <cell r="AA21">
            <v>28450.984578136111</v>
          </cell>
          <cell r="AB21">
            <v>119.52705581557849</v>
          </cell>
          <cell r="AC21">
            <v>105.93220338983052</v>
          </cell>
          <cell r="AD21">
            <v>1611.4637665056293</v>
          </cell>
          <cell r="AE21">
            <v>1611.4637665056293</v>
          </cell>
        </row>
        <row r="22">
          <cell r="A22">
            <v>0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 t="str">
            <v>stroški v €</v>
          </cell>
          <cell r="G22">
            <v>10537.199999999999</v>
          </cell>
          <cell r="H22">
            <v>10573.990000000002</v>
          </cell>
          <cell r="I22">
            <v>9947.5</v>
          </cell>
          <cell r="J22">
            <v>10308.82</v>
          </cell>
          <cell r="K22">
            <v>10341.877500000001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 t="str">
            <v>stroški v €</v>
          </cell>
          <cell r="T22">
            <v>30388</v>
          </cell>
          <cell r="U22">
            <v>22007</v>
          </cell>
          <cell r="V22">
            <v>27010</v>
          </cell>
          <cell r="W22">
            <v>28422</v>
          </cell>
          <cell r="X22">
            <v>26956.75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</row>
        <row r="23">
          <cell r="A23">
            <v>0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</row>
        <row r="24">
          <cell r="A24" t="str">
            <v>OB06</v>
          </cell>
          <cell r="B24" t="str">
            <v>OŠ Jakoba Aljaža s športno dvorano</v>
          </cell>
          <cell r="C24" t="str">
            <v>Ulica Tončka Dežmana 1, 4000 Kranj</v>
          </cell>
          <cell r="D24">
            <v>7715</v>
          </cell>
          <cell r="E24">
            <v>1980</v>
          </cell>
          <cell r="F24" t="str">
            <v>raba v kWh</v>
          </cell>
          <cell r="G24">
            <v>321030</v>
          </cell>
          <cell r="H24">
            <v>307825</v>
          </cell>
          <cell r="I24">
            <v>311540</v>
          </cell>
          <cell r="J24">
            <v>277985</v>
          </cell>
          <cell r="K24">
            <v>304595</v>
          </cell>
          <cell r="L24">
            <v>39.480881399870384</v>
          </cell>
          <cell r="M24">
            <v>304595</v>
          </cell>
          <cell r="N24">
            <v>33751.705000000002</v>
          </cell>
          <cell r="O24">
            <v>39.480881399870384</v>
          </cell>
          <cell r="P24">
            <v>110.80846698074492</v>
          </cell>
          <cell r="Q24">
            <v>0</v>
          </cell>
          <cell r="R24" t="str">
            <v>ZP</v>
          </cell>
          <cell r="S24" t="str">
            <v>raba v kWh</v>
          </cell>
          <cell r="T24">
            <v>1148020</v>
          </cell>
          <cell r="U24">
            <v>939600</v>
          </cell>
          <cell r="V24">
            <v>1004174</v>
          </cell>
          <cell r="W24">
            <v>1192118</v>
          </cell>
          <cell r="X24">
            <v>1070978</v>
          </cell>
          <cell r="Y24">
            <v>138.81762799740764</v>
          </cell>
          <cell r="Z24">
            <v>1130343.1816343979</v>
          </cell>
          <cell r="AA24">
            <v>52012.339999282252</v>
          </cell>
          <cell r="AB24">
            <v>146.51240202649359</v>
          </cell>
          <cell r="AC24">
            <v>46.014644794933886</v>
          </cell>
          <cell r="AD24">
            <v>6782.0590898063874</v>
          </cell>
          <cell r="AE24">
            <v>58794.399089088642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 t="str">
            <v>stroški v €</v>
          </cell>
          <cell r="G25">
            <v>37931.449999999997</v>
          </cell>
          <cell r="H25">
            <v>33225.71</v>
          </cell>
          <cell r="I25">
            <v>33836.700000000004</v>
          </cell>
          <cell r="J25">
            <v>30012.960000000003</v>
          </cell>
          <cell r="K25">
            <v>33751.705000000002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 t="str">
            <v>stroški v €</v>
          </cell>
          <cell r="T25">
            <v>59313.390000000014</v>
          </cell>
          <cell r="U25">
            <v>51754.11</v>
          </cell>
          <cell r="V25">
            <v>53194.71</v>
          </cell>
          <cell r="W25">
            <v>32860.479012754789</v>
          </cell>
          <cell r="X25">
            <v>49280.672253188706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</row>
        <row r="26">
          <cell r="A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</row>
        <row r="27">
          <cell r="A27" t="str">
            <v>OB07</v>
          </cell>
          <cell r="B27" t="str">
            <v>OŠ Matije Čopa</v>
          </cell>
          <cell r="C27" t="str">
            <v>Ulica Tuga Vidmarja 1, 4000 Kranj</v>
          </cell>
          <cell r="D27">
            <v>3718</v>
          </cell>
          <cell r="E27">
            <v>1988</v>
          </cell>
          <cell r="F27" t="str">
            <v>raba v kWh</v>
          </cell>
          <cell r="G27">
            <v>166208</v>
          </cell>
          <cell r="H27">
            <v>147780</v>
          </cell>
          <cell r="I27">
            <v>160084</v>
          </cell>
          <cell r="J27">
            <v>172896</v>
          </cell>
          <cell r="K27">
            <v>161742</v>
          </cell>
          <cell r="L27">
            <v>43.502420656266807</v>
          </cell>
          <cell r="M27">
            <v>161742</v>
          </cell>
          <cell r="N27">
            <v>21423.634999999998</v>
          </cell>
          <cell r="O27">
            <v>43.502420656266807</v>
          </cell>
          <cell r="P27">
            <v>132.45560831447614</v>
          </cell>
          <cell r="Q27">
            <v>0</v>
          </cell>
          <cell r="R27" t="str">
            <v>DO</v>
          </cell>
          <cell r="S27" t="str">
            <v>raba v kWh</v>
          </cell>
          <cell r="T27">
            <v>494800</v>
          </cell>
          <cell r="U27">
            <v>416640</v>
          </cell>
          <cell r="V27">
            <v>477885.35721264064</v>
          </cell>
          <cell r="W27">
            <v>511500</v>
          </cell>
          <cell r="X27">
            <v>475206.33930316014</v>
          </cell>
          <cell r="Y27">
            <v>127.81235591800971</v>
          </cell>
          <cell r="Z27">
            <v>501547.41320621828</v>
          </cell>
          <cell r="AA27">
            <v>35292.891344498865</v>
          </cell>
          <cell r="AB27">
            <v>134.89709876444817</v>
          </cell>
          <cell r="AC27">
            <v>70.368005925668484</v>
          </cell>
          <cell r="AD27">
            <v>3009.2844792373098</v>
          </cell>
          <cell r="AE27">
            <v>38302.175823736172</v>
          </cell>
        </row>
        <row r="28">
          <cell r="A28">
            <v>0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 t="str">
            <v>stroški v €</v>
          </cell>
          <cell r="G28">
            <v>21591.200000000004</v>
          </cell>
          <cell r="H28">
            <v>19696.84</v>
          </cell>
          <cell r="I28">
            <v>20366.069999999996</v>
          </cell>
          <cell r="J28">
            <v>24040.43</v>
          </cell>
          <cell r="K28">
            <v>21423.635000000002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 t="str">
            <v>stroški v €</v>
          </cell>
          <cell r="T28">
            <v>38028.15</v>
          </cell>
          <cell r="U28">
            <v>27601.74</v>
          </cell>
          <cell r="V28">
            <v>37249.979999999996</v>
          </cell>
          <cell r="W28">
            <v>30877.420000000002</v>
          </cell>
          <cell r="X28">
            <v>33439.322500000002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</row>
        <row r="29">
          <cell r="A29">
            <v>0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</row>
        <row r="30">
          <cell r="A30" t="str">
            <v>OB08</v>
          </cell>
          <cell r="B30" t="str">
            <v>OŠ Simona Jenka - PŠ Trstenik</v>
          </cell>
          <cell r="C30" t="str">
            <v>Trstenik 39, 4204 Golnik</v>
          </cell>
          <cell r="D30">
            <v>867</v>
          </cell>
          <cell r="E30">
            <v>1958</v>
          </cell>
          <cell r="F30" t="str">
            <v>raba v kWh</v>
          </cell>
          <cell r="G30">
            <v>165706</v>
          </cell>
          <cell r="H30">
            <v>163925</v>
          </cell>
          <cell r="I30">
            <v>165543</v>
          </cell>
          <cell r="J30">
            <v>140991.81</v>
          </cell>
          <cell r="K30">
            <v>159041.45250000001</v>
          </cell>
          <cell r="L30">
            <v>183.43881487889274</v>
          </cell>
          <cell r="M30">
            <v>159041.45250000001</v>
          </cell>
          <cell r="N30">
            <v>19558.5275</v>
          </cell>
          <cell r="O30">
            <v>183.43881487889274</v>
          </cell>
          <cell r="P30">
            <v>122.97754574393112</v>
          </cell>
          <cell r="Q30">
            <v>0</v>
          </cell>
          <cell r="R30" t="str">
            <v>ELKO</v>
          </cell>
          <cell r="S30" t="str">
            <v>raba v kWh</v>
          </cell>
          <cell r="T30">
            <v>115960.32000000001</v>
          </cell>
          <cell r="U30">
            <v>80640</v>
          </cell>
          <cell r="V30">
            <v>121050.72</v>
          </cell>
          <cell r="W30">
            <v>80690.399999999994</v>
          </cell>
          <cell r="X30">
            <v>99585.360000000015</v>
          </cell>
          <cell r="Y30">
            <v>114.86200692041524</v>
          </cell>
          <cell r="Z30">
            <v>105105.45750389542</v>
          </cell>
          <cell r="AA30">
            <v>8020.4826084524593</v>
          </cell>
          <cell r="AB30">
            <v>121.22890138857603</v>
          </cell>
          <cell r="AC30">
            <v>76.308907253033965</v>
          </cell>
          <cell r="AD30">
            <v>630.63274502337254</v>
          </cell>
          <cell r="AE30">
            <v>630.63274502337254</v>
          </cell>
        </row>
        <row r="31">
          <cell r="A31">
            <v>0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 t="str">
            <v>stroški v €</v>
          </cell>
          <cell r="G31">
            <v>19572.97</v>
          </cell>
          <cell r="H31">
            <v>19055.54</v>
          </cell>
          <cell r="I31">
            <v>19139.940000000002</v>
          </cell>
          <cell r="J31">
            <v>20465.66</v>
          </cell>
          <cell r="K31">
            <v>19558.5275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 t="str">
            <v>stroški v €</v>
          </cell>
          <cell r="T31">
            <v>10951</v>
          </cell>
          <cell r="U31">
            <v>6366.8</v>
          </cell>
          <cell r="V31">
            <v>7967.53</v>
          </cell>
          <cell r="W31">
            <v>5111.67</v>
          </cell>
          <cell r="X31">
            <v>7599.25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</row>
        <row r="33">
          <cell r="A33" t="str">
            <v>OB09</v>
          </cell>
          <cell r="B33" t="str">
            <v>OŠ Staneta Žagarja</v>
          </cell>
          <cell r="C33" t="str">
            <v>Cesta 1. maja 10a, 4000 Kranj</v>
          </cell>
          <cell r="D33">
            <v>2517</v>
          </cell>
          <cell r="E33">
            <v>1961</v>
          </cell>
          <cell r="F33" t="str">
            <v>raba v kWh</v>
          </cell>
          <cell r="G33">
            <v>82785</v>
          </cell>
          <cell r="H33">
            <v>91293</v>
          </cell>
          <cell r="I33">
            <v>96332</v>
          </cell>
          <cell r="J33">
            <v>83548</v>
          </cell>
          <cell r="K33">
            <v>88489.5</v>
          </cell>
          <cell r="L33">
            <v>35.156734207389746</v>
          </cell>
          <cell r="M33">
            <v>88489.5</v>
          </cell>
          <cell r="N33">
            <v>10250.6675</v>
          </cell>
          <cell r="O33">
            <v>35.156734207389746</v>
          </cell>
          <cell r="P33">
            <v>115.84049519999547</v>
          </cell>
          <cell r="Q33">
            <v>0</v>
          </cell>
          <cell r="R33" t="str">
            <v>ZP</v>
          </cell>
          <cell r="S33" t="str">
            <v>raba v kWh</v>
          </cell>
          <cell r="T33">
            <v>332316.31999999995</v>
          </cell>
          <cell r="U33">
            <v>425592.95999999996</v>
          </cell>
          <cell r="V33">
            <v>502793.27999999991</v>
          </cell>
          <cell r="W33">
            <v>525241.60000000009</v>
          </cell>
          <cell r="X33">
            <v>446486.04</v>
          </cell>
          <cell r="Y33">
            <v>177.38817640047674</v>
          </cell>
          <cell r="Z33">
            <v>471235.12435264123</v>
          </cell>
          <cell r="AA33">
            <v>26465.202057100847</v>
          </cell>
          <cell r="AB33">
            <v>187.22094729942043</v>
          </cell>
          <cell r="AC33">
            <v>56.161352771522267</v>
          </cell>
          <cell r="AD33">
            <v>2827.4107461158474</v>
          </cell>
          <cell r="AE33">
            <v>29292.612803216696</v>
          </cell>
        </row>
        <row r="34">
          <cell r="A34">
            <v>0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 t="str">
            <v>stroški v €</v>
          </cell>
          <cell r="G34">
            <v>10649.58</v>
          </cell>
          <cell r="H34">
            <v>9750.4</v>
          </cell>
          <cell r="I34">
            <v>10873.120000000003</v>
          </cell>
          <cell r="J34">
            <v>9729.57</v>
          </cell>
          <cell r="K34">
            <v>10250.6675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 t="str">
            <v>stroški v €</v>
          </cell>
          <cell r="T34">
            <v>19952.150000000001</v>
          </cell>
          <cell r="U34">
            <v>25846.32</v>
          </cell>
          <cell r="V34">
            <v>29154.75</v>
          </cell>
          <cell r="W34">
            <v>25347.820000000003</v>
          </cell>
          <cell r="X34">
            <v>25075.260000000002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</row>
        <row r="35">
          <cell r="A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</row>
        <row r="36">
          <cell r="A36" t="str">
            <v>OB10</v>
          </cell>
          <cell r="B36" t="str">
            <v>VVZ Čebelica</v>
          </cell>
          <cell r="C36" t="str">
            <v>Planina 39, 4000 Kranj</v>
          </cell>
          <cell r="D36">
            <v>697</v>
          </cell>
          <cell r="E36">
            <v>1973</v>
          </cell>
          <cell r="F36" t="str">
            <v>raba v kWh</v>
          </cell>
          <cell r="G36">
            <v>23583</v>
          </cell>
          <cell r="H36">
            <v>16939</v>
          </cell>
          <cell r="I36">
            <v>15826</v>
          </cell>
          <cell r="J36">
            <v>17864</v>
          </cell>
          <cell r="K36">
            <v>18553</v>
          </cell>
          <cell r="L36">
            <v>26.618364418938306</v>
          </cell>
          <cell r="M36">
            <v>18553</v>
          </cell>
          <cell r="N36">
            <v>2123.6400000000003</v>
          </cell>
          <cell r="O36">
            <v>26.618364418938306</v>
          </cell>
          <cell r="P36">
            <v>114.46342909502508</v>
          </cell>
          <cell r="Q36">
            <v>0</v>
          </cell>
          <cell r="R36" t="str">
            <v>DO</v>
          </cell>
          <cell r="S36" t="str">
            <v>raba v kWh</v>
          </cell>
          <cell r="T36">
            <v>106040</v>
          </cell>
          <cell r="U36">
            <v>100190</v>
          </cell>
          <cell r="V36">
            <v>121280</v>
          </cell>
          <cell r="W36">
            <v>112910</v>
          </cell>
          <cell r="X36">
            <v>110105</v>
          </cell>
          <cell r="Y36">
            <v>157.96987087517934</v>
          </cell>
          <cell r="Z36">
            <v>116208.20970538646</v>
          </cell>
          <cell r="AA36">
            <v>7813.995485548995</v>
          </cell>
          <cell r="AB36">
            <v>166.72626930471515</v>
          </cell>
          <cell r="AC36">
            <v>67.24133781390492</v>
          </cell>
          <cell r="AD36">
            <v>697.24925823231877</v>
          </cell>
          <cell r="AE36">
            <v>8511.2447437813134</v>
          </cell>
        </row>
        <row r="37">
          <cell r="A37">
            <v>0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 t="str">
            <v>stroški v €</v>
          </cell>
          <cell r="G37">
            <v>2984.6100000000006</v>
          </cell>
          <cell r="H37">
            <v>1517.0800000000002</v>
          </cell>
          <cell r="I37">
            <v>1892.87</v>
          </cell>
          <cell r="J37">
            <v>2100</v>
          </cell>
          <cell r="K37">
            <v>2123.6400000000003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 t="str">
            <v>stroški v €</v>
          </cell>
          <cell r="T37">
            <v>8695.7200000000012</v>
          </cell>
          <cell r="U37">
            <v>7283.380000000001</v>
          </cell>
          <cell r="V37">
            <v>7291.7600000000011</v>
          </cell>
          <cell r="W37">
            <v>6343.5700000000006</v>
          </cell>
          <cell r="X37">
            <v>7403.607500000001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</row>
        <row r="38">
          <cell r="A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</row>
        <row r="39">
          <cell r="A39" t="str">
            <v>OB11</v>
          </cell>
          <cell r="B39" t="str">
            <v>VVZ Janina</v>
          </cell>
          <cell r="C39" t="str">
            <v>Kebetova 9, 4000 Kranj</v>
          </cell>
          <cell r="D39">
            <v>1671.3</v>
          </cell>
          <cell r="E39">
            <v>1969</v>
          </cell>
          <cell r="F39" t="str">
            <v>raba v kWh</v>
          </cell>
          <cell r="G39">
            <v>76854</v>
          </cell>
          <cell r="H39">
            <v>74838</v>
          </cell>
          <cell r="I39">
            <v>77551</v>
          </cell>
          <cell r="J39">
            <v>92981</v>
          </cell>
          <cell r="K39">
            <v>80556</v>
          </cell>
          <cell r="L39">
            <v>48.199605097828041</v>
          </cell>
          <cell r="M39">
            <v>80556</v>
          </cell>
          <cell r="N39">
            <v>8732.1424999999981</v>
          </cell>
          <cell r="O39">
            <v>48.199605097828041</v>
          </cell>
          <cell r="P39">
            <v>108.39841228462186</v>
          </cell>
          <cell r="Q39">
            <v>0</v>
          </cell>
          <cell r="R39" t="str">
            <v>ZP</v>
          </cell>
          <cell r="S39" t="str">
            <v>raba v kWh</v>
          </cell>
          <cell r="T39">
            <v>325406.24</v>
          </cell>
          <cell r="U39">
            <v>312161.92000000004</v>
          </cell>
          <cell r="V39">
            <v>321233.76</v>
          </cell>
          <cell r="W39">
            <v>288127.68</v>
          </cell>
          <cell r="X39">
            <v>311732.40000000002</v>
          </cell>
          <cell r="Y39">
            <v>186.52091186501528</v>
          </cell>
          <cell r="Z39">
            <v>329011.9804837511</v>
          </cell>
          <cell r="AA39">
            <v>17625.053624077413</v>
          </cell>
          <cell r="AB39">
            <v>196.85991771899188</v>
          </cell>
          <cell r="AC39">
            <v>53.569640832419047</v>
          </cell>
          <cell r="AD39">
            <v>1974.0718829025068</v>
          </cell>
          <cell r="AE39">
            <v>1974.0718829025068</v>
          </cell>
        </row>
        <row r="40">
          <cell r="A40">
            <v>0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 t="str">
            <v>stroški v €</v>
          </cell>
          <cell r="G40">
            <v>11026.789999999999</v>
          </cell>
          <cell r="H40">
            <v>10096.799999999999</v>
          </cell>
          <cell r="I40">
            <v>6288.99</v>
          </cell>
          <cell r="J40">
            <v>7515.9900000000016</v>
          </cell>
          <cell r="K40">
            <v>8732.1424999999981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 t="str">
            <v>stroški v €</v>
          </cell>
          <cell r="T40">
            <v>20475.12</v>
          </cell>
          <cell r="U40">
            <v>18159.41</v>
          </cell>
          <cell r="V40">
            <v>13147.860815311957</v>
          </cell>
          <cell r="W40">
            <v>15015.179999999998</v>
          </cell>
          <cell r="X40">
            <v>16699.392703827987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</row>
        <row r="41">
          <cell r="A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</row>
        <row r="42">
          <cell r="A42" t="str">
            <v>OB12</v>
          </cell>
          <cell r="B42" t="str">
            <v>VVZ Najdihojca</v>
          </cell>
          <cell r="C42" t="str">
            <v>Ulice Nikole Tesle 4, 4000 Kranj</v>
          </cell>
          <cell r="D42">
            <v>1776</v>
          </cell>
          <cell r="E42">
            <v>1978</v>
          </cell>
          <cell r="F42" t="str">
            <v>raba v kWh</v>
          </cell>
          <cell r="G42">
            <v>168359</v>
          </cell>
          <cell r="H42">
            <v>165762</v>
          </cell>
          <cell r="I42">
            <v>160636</v>
          </cell>
          <cell r="J42">
            <v>153958</v>
          </cell>
          <cell r="K42">
            <v>162178.75</v>
          </cell>
          <cell r="L42">
            <v>91.316863738738732</v>
          </cell>
          <cell r="M42">
            <v>162178.75</v>
          </cell>
          <cell r="N42">
            <v>20412.2</v>
          </cell>
          <cell r="O42">
            <v>91.316863738738732</v>
          </cell>
          <cell r="P42">
            <v>125.8623586628951</v>
          </cell>
          <cell r="Q42">
            <v>0</v>
          </cell>
          <cell r="R42" t="str">
            <v>DO</v>
          </cell>
          <cell r="S42" t="str">
            <v>raba v kWh</v>
          </cell>
          <cell r="T42">
            <v>237964</v>
          </cell>
          <cell r="U42">
            <v>195000</v>
          </cell>
          <cell r="V42">
            <v>223810</v>
          </cell>
          <cell r="W42">
            <v>225830</v>
          </cell>
          <cell r="X42">
            <v>220651</v>
          </cell>
          <cell r="Y42">
            <v>124.24042792792793</v>
          </cell>
          <cell r="Z42">
            <v>232881.8643994662</v>
          </cell>
          <cell r="AA42">
            <v>23846.760005034073</v>
          </cell>
          <cell r="AB42">
            <v>131.12717590060035</v>
          </cell>
          <cell r="AC42">
            <v>102.39852753896423</v>
          </cell>
          <cell r="AD42">
            <v>1397.2911863967972</v>
          </cell>
          <cell r="AE42">
            <v>25244.05119143087</v>
          </cell>
        </row>
        <row r="43">
          <cell r="A43">
            <v>0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 t="str">
            <v>stroški v €</v>
          </cell>
          <cell r="G43">
            <v>26628.29</v>
          </cell>
          <cell r="H43">
            <v>24326.2</v>
          </cell>
          <cell r="I43">
            <v>15094.480000000003</v>
          </cell>
          <cell r="J43">
            <v>15599.829999999998</v>
          </cell>
          <cell r="K43">
            <v>20412.2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 t="str">
            <v>stroški v €</v>
          </cell>
          <cell r="T43">
            <v>28183.95</v>
          </cell>
          <cell r="U43">
            <v>21727.01</v>
          </cell>
          <cell r="V43">
            <v>21110.1</v>
          </cell>
          <cell r="W43">
            <v>19356.289999999997</v>
          </cell>
          <cell r="X43">
            <v>22594.337499999998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</row>
        <row r="44">
          <cell r="A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</row>
        <row r="45">
          <cell r="A45" t="str">
            <v>OB13</v>
          </cell>
          <cell r="B45" t="str">
            <v>VVZ Sonček</v>
          </cell>
          <cell r="C45" t="str">
            <v>Cesta 1. maja 17, 4000 Kranj</v>
          </cell>
          <cell r="D45">
            <v>364.5</v>
          </cell>
          <cell r="E45">
            <v>1950</v>
          </cell>
          <cell r="F45" t="str">
            <v>raba v kWh</v>
          </cell>
          <cell r="G45">
            <v>12200</v>
          </cell>
          <cell r="H45">
            <v>12151</v>
          </cell>
          <cell r="I45">
            <v>11371</v>
          </cell>
          <cell r="J45">
            <v>18212</v>
          </cell>
          <cell r="K45">
            <v>13483.5</v>
          </cell>
          <cell r="L45">
            <v>36.991769547325106</v>
          </cell>
          <cell r="M45">
            <v>13483.5</v>
          </cell>
          <cell r="N45">
            <v>1407.39</v>
          </cell>
          <cell r="O45">
            <v>36.991769547325106</v>
          </cell>
          <cell r="P45">
            <v>104.3786850595172</v>
          </cell>
          <cell r="Q45">
            <v>0</v>
          </cell>
          <cell r="R45" t="str">
            <v>ELKO</v>
          </cell>
          <cell r="S45" t="str">
            <v>raba v kWh</v>
          </cell>
          <cell r="T45">
            <v>68544</v>
          </cell>
          <cell r="U45">
            <v>59340.959999999999</v>
          </cell>
          <cell r="V45">
            <v>23022.720000000001</v>
          </cell>
          <cell r="W45">
            <v>70590.240000000005</v>
          </cell>
          <cell r="X45">
            <v>55374.479999999996</v>
          </cell>
          <cell r="Y45">
            <v>151.91901234567899</v>
          </cell>
          <cell r="Z45">
            <v>58443.932465979997</v>
          </cell>
          <cell r="AA45">
            <v>4284.041165828985</v>
          </cell>
          <cell r="AB45">
            <v>160.34000676537721</v>
          </cell>
          <cell r="AC45">
            <v>73.301726715989034</v>
          </cell>
          <cell r="AD45">
            <v>350.66359479587999</v>
          </cell>
          <cell r="AE45">
            <v>4634.7047606248652</v>
          </cell>
        </row>
        <row r="46">
          <cell r="A46">
            <v>0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 t="str">
            <v>stroški v €</v>
          </cell>
          <cell r="G46">
            <v>1760.63</v>
          </cell>
          <cell r="H46">
            <v>1589.6499999999996</v>
          </cell>
          <cell r="I46">
            <v>984.19000000000017</v>
          </cell>
          <cell r="J46">
            <v>1295.0900000000001</v>
          </cell>
          <cell r="K46">
            <v>1407.39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 t="str">
            <v>stroški v €</v>
          </cell>
          <cell r="T46">
            <v>5580.71</v>
          </cell>
          <cell r="U46">
            <v>4734.76</v>
          </cell>
          <cell r="V46">
            <v>1340.62</v>
          </cell>
          <cell r="W46">
            <v>4580.09</v>
          </cell>
          <cell r="X46">
            <v>4059.0450000000001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</row>
        <row r="47">
          <cell r="A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</row>
        <row r="48">
          <cell r="A48" t="str">
            <v>OB14</v>
          </cell>
          <cell r="B48" t="str">
            <v>OŠ Orehek</v>
          </cell>
          <cell r="C48" t="str">
            <v>Zasavska cesta 53a, 4000 Kranj</v>
          </cell>
          <cell r="D48">
            <v>4449</v>
          </cell>
          <cell r="E48">
            <v>1988</v>
          </cell>
          <cell r="F48" t="str">
            <v>raba v kWh</v>
          </cell>
          <cell r="G48">
            <v>170919</v>
          </cell>
          <cell r="H48">
            <v>178746</v>
          </cell>
          <cell r="I48">
            <v>149834</v>
          </cell>
          <cell r="J48">
            <v>194998</v>
          </cell>
          <cell r="K48">
            <v>173624.25</v>
          </cell>
          <cell r="L48">
            <v>39.025455158462577</v>
          </cell>
          <cell r="M48">
            <v>173624.25</v>
          </cell>
          <cell r="N48">
            <v>18507.134999999995</v>
          </cell>
          <cell r="O48">
            <v>39.025455158462577</v>
          </cell>
          <cell r="P48">
            <v>106.5930306394412</v>
          </cell>
          <cell r="Q48">
            <v>0</v>
          </cell>
          <cell r="R48" t="str">
            <v>ZP</v>
          </cell>
          <cell r="S48" t="str">
            <v>raba v kWh</v>
          </cell>
          <cell r="T48">
            <v>483412.95999999996</v>
          </cell>
          <cell r="U48">
            <v>510606.29599999997</v>
          </cell>
          <cell r="V48">
            <v>611221.12</v>
          </cell>
          <cell r="W48">
            <v>348864.63999999996</v>
          </cell>
          <cell r="X48">
            <v>535080.12533333327</v>
          </cell>
          <cell r="Y48">
            <v>120.26975170450287</v>
          </cell>
          <cell r="Z48">
            <v>564740.05189519515</v>
          </cell>
          <cell r="AA48">
            <v>32278.497386593368</v>
          </cell>
          <cell r="AB48">
            <v>126.93640186450779</v>
          </cell>
          <cell r="AC48">
            <v>57.156380671551226</v>
          </cell>
          <cell r="AD48">
            <v>3388.440311371171</v>
          </cell>
          <cell r="AE48">
            <v>3388.440311371171</v>
          </cell>
        </row>
        <row r="49">
          <cell r="A49">
            <v>0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 t="str">
            <v>stroški v €</v>
          </cell>
          <cell r="G49">
            <v>19859.75</v>
          </cell>
          <cell r="H49">
            <v>19094.789999999997</v>
          </cell>
          <cell r="I49">
            <v>16857.309999999998</v>
          </cell>
          <cell r="J49">
            <v>18216.690000000002</v>
          </cell>
          <cell r="K49">
            <v>18507.134999999998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 t="str">
            <v>stroški v €</v>
          </cell>
          <cell r="T49">
            <v>30195.02</v>
          </cell>
          <cell r="U49">
            <v>28817.15</v>
          </cell>
          <cell r="V49">
            <v>32737.560000000005</v>
          </cell>
          <cell r="W49">
            <v>17183.91</v>
          </cell>
          <cell r="X49">
            <v>30583.243333333336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</row>
        <row r="50">
          <cell r="A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</row>
        <row r="51">
          <cell r="A51" t="str">
            <v>OB15</v>
          </cell>
          <cell r="B51" t="str">
            <v>OŠ Simona Jenka</v>
          </cell>
          <cell r="C51" t="str">
            <v>Ulica XXXI. divizije 7A, 4000 Kranj</v>
          </cell>
          <cell r="D51">
            <v>3282</v>
          </cell>
          <cell r="E51">
            <v>1974</v>
          </cell>
          <cell r="F51" t="str">
            <v>raba v kWh</v>
          </cell>
          <cell r="G51">
            <v>147988.01</v>
          </cell>
          <cell r="H51">
            <v>144516.07</v>
          </cell>
          <cell r="I51">
            <v>138957.32999999999</v>
          </cell>
          <cell r="J51">
            <v>145102.70000000001</v>
          </cell>
          <cell r="K51">
            <v>144141.02750000003</v>
          </cell>
          <cell r="L51">
            <v>43.918655545399155</v>
          </cell>
          <cell r="M51">
            <v>144141.02750000003</v>
          </cell>
          <cell r="N51">
            <v>16672.425000000003</v>
          </cell>
          <cell r="O51">
            <v>43.918655545399155</v>
          </cell>
          <cell r="P51">
            <v>115.66744936655873</v>
          </cell>
          <cell r="Q51">
            <v>0</v>
          </cell>
          <cell r="R51" t="str">
            <v>ZP</v>
          </cell>
          <cell r="S51" t="str">
            <v>raba v kWh</v>
          </cell>
          <cell r="T51">
            <v>529968.47999999986</v>
          </cell>
          <cell r="U51">
            <v>433044.95999999996</v>
          </cell>
          <cell r="V51">
            <v>502724.16000000003</v>
          </cell>
          <cell r="W51">
            <v>319207.84000000008</v>
          </cell>
          <cell r="X51">
            <v>446236.36</v>
          </cell>
          <cell r="Y51">
            <v>135.96476538695916</v>
          </cell>
          <cell r="Z51">
            <v>470971.60438716062</v>
          </cell>
          <cell r="AA51">
            <v>41033.379538382855</v>
          </cell>
          <cell r="AB51">
            <v>143.50140292113363</v>
          </cell>
          <cell r="AC51">
            <v>87.124954362750728</v>
          </cell>
          <cell r="AD51">
            <v>2825.8296263229636</v>
          </cell>
          <cell r="AE51">
            <v>43859.209164705819</v>
          </cell>
        </row>
        <row r="52">
          <cell r="A52">
            <v>0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 t="str">
            <v>stroški v €</v>
          </cell>
          <cell r="G52">
            <v>17677.660000000003</v>
          </cell>
          <cell r="H52">
            <v>16403.059999999998</v>
          </cell>
          <cell r="I52">
            <v>15641.260000000002</v>
          </cell>
          <cell r="J52">
            <v>16967.72</v>
          </cell>
          <cell r="K52">
            <v>16672.425000000003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 t="str">
            <v>stroški v €</v>
          </cell>
          <cell r="T52">
            <v>40460.99</v>
          </cell>
          <cell r="U52">
            <v>38102.58</v>
          </cell>
          <cell r="V52">
            <v>37043.620000000003</v>
          </cell>
          <cell r="W52">
            <v>39906.1</v>
          </cell>
          <cell r="X52">
            <v>38878.322500000002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</row>
        <row r="53">
          <cell r="A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</row>
        <row r="54">
          <cell r="A54" t="str">
            <v>OB16</v>
          </cell>
          <cell r="B54" t="str">
            <v>OŠ Simona Jenka - Center</v>
          </cell>
          <cell r="C54" t="str">
            <v>Komenskega ulica 2, 4000 Kranj</v>
          </cell>
          <cell r="D54">
            <v>2138</v>
          </cell>
          <cell r="E54">
            <v>1938</v>
          </cell>
          <cell r="F54" t="str">
            <v>raba v kWh</v>
          </cell>
          <cell r="G54">
            <v>39338</v>
          </cell>
          <cell r="H54">
            <v>42725</v>
          </cell>
          <cell r="I54">
            <v>39134</v>
          </cell>
          <cell r="J54">
            <v>44751</v>
          </cell>
          <cell r="K54">
            <v>41487</v>
          </cell>
          <cell r="L54">
            <v>19.404583723105706</v>
          </cell>
          <cell r="M54">
            <v>41487</v>
          </cell>
          <cell r="N54">
            <v>5367.9274999999998</v>
          </cell>
          <cell r="O54">
            <v>19.404583723105706</v>
          </cell>
          <cell r="P54">
            <v>129.38818184009449</v>
          </cell>
          <cell r="Q54">
            <v>0</v>
          </cell>
          <cell r="R54" t="str">
            <v>ZP</v>
          </cell>
          <cell r="S54" t="str">
            <v>raba v kWh</v>
          </cell>
          <cell r="T54">
            <v>457924.32</v>
          </cell>
          <cell r="U54">
            <v>228846.24</v>
          </cell>
          <cell r="V54">
            <v>241920</v>
          </cell>
          <cell r="W54">
            <v>483436.79999999999</v>
          </cell>
          <cell r="X54">
            <v>353031.84</v>
          </cell>
          <cell r="Y54">
            <v>165.12246959775493</v>
          </cell>
          <cell r="Z54">
            <v>372600.68203440751</v>
          </cell>
          <cell r="AA54">
            <v>26623.226435631692</v>
          </cell>
          <cell r="AB54">
            <v>174.27534239214569</v>
          </cell>
          <cell r="AC54">
            <v>71.452436131539855</v>
          </cell>
          <cell r="AD54">
            <v>2235.6040922064449</v>
          </cell>
          <cell r="AE54">
            <v>28858.830527838138</v>
          </cell>
        </row>
        <row r="55">
          <cell r="A55">
            <v>0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 t="str">
            <v>stroški v €</v>
          </cell>
          <cell r="G55">
            <v>5358.98</v>
          </cell>
          <cell r="H55">
            <v>5361.97</v>
          </cell>
          <cell r="I55">
            <v>5008.0399999999991</v>
          </cell>
          <cell r="J55">
            <v>5742.72</v>
          </cell>
          <cell r="K55">
            <v>5367.9274999999998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 t="str">
            <v>stroški v €</v>
          </cell>
          <cell r="T55">
            <v>37505.199999999997</v>
          </cell>
          <cell r="U55">
            <v>18139.22</v>
          </cell>
          <cell r="V55">
            <v>16202.92</v>
          </cell>
          <cell r="W55">
            <v>29052.6</v>
          </cell>
          <cell r="X55">
            <v>25224.985000000001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</row>
        <row r="56">
          <cell r="A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</row>
        <row r="57">
          <cell r="A57" t="str">
            <v>OB17</v>
          </cell>
          <cell r="B57" t="str">
            <v>OŠ Simona Jenka - Primskovo</v>
          </cell>
          <cell r="C57" t="str">
            <v>Zadružna ulica 11, 4000 Kranj</v>
          </cell>
          <cell r="D57">
            <v>1459</v>
          </cell>
          <cell r="E57">
            <v>1980</v>
          </cell>
          <cell r="F57" t="str">
            <v>raba v kWh</v>
          </cell>
          <cell r="G57">
            <v>56848</v>
          </cell>
          <cell r="H57">
            <v>57712</v>
          </cell>
          <cell r="I57">
            <v>55835</v>
          </cell>
          <cell r="J57">
            <v>54921</v>
          </cell>
          <cell r="K57">
            <v>56329</v>
          </cell>
          <cell r="L57">
            <v>38.607950651130913</v>
          </cell>
          <cell r="M57">
            <v>56329</v>
          </cell>
          <cell r="N57">
            <v>7889.5924999999988</v>
          </cell>
          <cell r="O57">
            <v>38.607950651130913</v>
          </cell>
          <cell r="P57">
            <v>140.0627119245859</v>
          </cell>
          <cell r="Q57">
            <v>0</v>
          </cell>
          <cell r="R57" t="str">
            <v>ELKO</v>
          </cell>
          <cell r="S57" t="str">
            <v>raba v kWh</v>
          </cell>
          <cell r="T57">
            <v>201640.32000000001</v>
          </cell>
          <cell r="U57">
            <v>100830.24</v>
          </cell>
          <cell r="V57">
            <v>241980.48</v>
          </cell>
          <cell r="W57">
            <v>229491.36000000002</v>
          </cell>
          <cell r="X57">
            <v>193485.6</v>
          </cell>
          <cell r="Y57">
            <v>132.61521590130226</v>
          </cell>
          <cell r="Z57">
            <v>204210.66418212181</v>
          </cell>
          <cell r="AA57">
            <v>14212.473549985214</v>
          </cell>
          <cell r="AB57">
            <v>139.96618518308554</v>
          </cell>
          <cell r="AC57">
            <v>69.597117304853683</v>
          </cell>
          <cell r="AD57">
            <v>1225.2639850927308</v>
          </cell>
          <cell r="AE57">
            <v>1225.2639850927308</v>
          </cell>
        </row>
        <row r="58">
          <cell r="A58">
            <v>0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 t="str">
            <v>stroški v €</v>
          </cell>
          <cell r="G58">
            <v>8070.1399999999985</v>
          </cell>
          <cell r="H58">
            <v>7899.9699999999993</v>
          </cell>
          <cell r="I58">
            <v>7989.69</v>
          </cell>
          <cell r="J58">
            <v>7598.5700000000006</v>
          </cell>
          <cell r="K58">
            <v>7889.5924999999988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 t="str">
            <v>stroški v €</v>
          </cell>
          <cell r="T58">
            <v>16247.47</v>
          </cell>
          <cell r="U58">
            <v>8024.46</v>
          </cell>
          <cell r="V58">
            <v>16111.6</v>
          </cell>
          <cell r="W58">
            <v>13480.63</v>
          </cell>
          <cell r="X58">
            <v>13466.039999999999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</row>
        <row r="59">
          <cell r="A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</row>
        <row r="60">
          <cell r="A60" t="str">
            <v>OB18</v>
          </cell>
          <cell r="B60" t="str">
            <v>VVZ Mojca</v>
          </cell>
          <cell r="C60" t="str">
            <v>Ulica Nikole Tesle 2, 4000 Kranj</v>
          </cell>
          <cell r="D60">
            <v>1164</v>
          </cell>
          <cell r="E60">
            <v>1981</v>
          </cell>
          <cell r="F60" t="str">
            <v>raba v kWh</v>
          </cell>
          <cell r="G60">
            <v>70122</v>
          </cell>
          <cell r="H60">
            <v>59050</v>
          </cell>
          <cell r="I60">
            <v>55798</v>
          </cell>
          <cell r="J60">
            <v>61626</v>
          </cell>
          <cell r="K60">
            <v>61649</v>
          </cell>
          <cell r="L60">
            <v>52.963058419243985</v>
          </cell>
          <cell r="M60">
            <v>61649</v>
          </cell>
          <cell r="N60">
            <v>6192.8074999999999</v>
          </cell>
          <cell r="O60">
            <v>52.963058419243985</v>
          </cell>
          <cell r="P60">
            <v>100.45268374182874</v>
          </cell>
          <cell r="Q60">
            <v>0</v>
          </cell>
          <cell r="R60" t="str">
            <v>ZP</v>
          </cell>
          <cell r="S60" t="str">
            <v>raba v kWh</v>
          </cell>
          <cell r="T60">
            <v>266934</v>
          </cell>
          <cell r="U60">
            <v>207570</v>
          </cell>
          <cell r="V60">
            <v>232530</v>
          </cell>
          <cell r="W60">
            <v>224250</v>
          </cell>
          <cell r="X60">
            <v>232821</v>
          </cell>
          <cell r="Y60">
            <v>200.01804123711341</v>
          </cell>
          <cell r="Z60">
            <v>245726.4573980998</v>
          </cell>
          <cell r="AA60">
            <v>14588.109292192381</v>
          </cell>
          <cell r="AB60">
            <v>211.10520395025756</v>
          </cell>
          <cell r="AC60">
            <v>59.367271423110466</v>
          </cell>
          <cell r="AD60">
            <v>1474.3587443885988</v>
          </cell>
          <cell r="AE60">
            <v>16062.46803658098</v>
          </cell>
        </row>
        <row r="61">
          <cell r="A61">
            <v>0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 t="str">
            <v>stroški v €</v>
          </cell>
          <cell r="G61">
            <v>9457.9299999999985</v>
          </cell>
          <cell r="H61">
            <v>6879.41</v>
          </cell>
          <cell r="I61">
            <v>4025.05</v>
          </cell>
          <cell r="J61">
            <v>4408.84</v>
          </cell>
          <cell r="K61">
            <v>6192.8074999999999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 t="str">
            <v>stroški v €</v>
          </cell>
          <cell r="T61">
            <v>23369.550000000003</v>
          </cell>
          <cell r="U61">
            <v>15091.070000000002</v>
          </cell>
          <cell r="V61">
            <v>290.23</v>
          </cell>
          <cell r="W61">
            <v>16536.939999999999</v>
          </cell>
          <cell r="X61">
            <v>13821.947500000002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</row>
        <row r="62">
          <cell r="A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</row>
        <row r="63">
          <cell r="A63" t="str">
            <v>OB19</v>
          </cell>
          <cell r="B63" t="str">
            <v>VVZ Živ Žav</v>
          </cell>
          <cell r="C63" t="str">
            <v>Jernejeva 14 , 4000 Kranj</v>
          </cell>
          <cell r="D63">
            <v>720</v>
          </cell>
          <cell r="E63">
            <v>1973</v>
          </cell>
          <cell r="F63" t="str">
            <v>raba v kWh</v>
          </cell>
          <cell r="G63">
            <v>22034</v>
          </cell>
          <cell r="H63">
            <v>21508</v>
          </cell>
          <cell r="I63">
            <v>21859</v>
          </cell>
          <cell r="J63">
            <v>23993</v>
          </cell>
          <cell r="K63">
            <v>22348.5</v>
          </cell>
          <cell r="L63">
            <v>31.039583333333333</v>
          </cell>
          <cell r="M63">
            <v>22348.5</v>
          </cell>
          <cell r="N63">
            <v>3745.335</v>
          </cell>
          <cell r="O63">
            <v>31.039583333333333</v>
          </cell>
          <cell r="P63">
            <v>167.58775756762199</v>
          </cell>
          <cell r="Q63">
            <v>0</v>
          </cell>
          <cell r="R63" t="str">
            <v>ELKO</v>
          </cell>
          <cell r="S63" t="str">
            <v>raba v kWh</v>
          </cell>
          <cell r="T63">
            <v>151210.07999999999</v>
          </cell>
          <cell r="U63">
            <v>161280</v>
          </cell>
          <cell r="V63">
            <v>161834.4</v>
          </cell>
          <cell r="W63">
            <v>94500</v>
          </cell>
          <cell r="X63">
            <v>142206.12</v>
          </cell>
          <cell r="Y63">
            <v>197.5085</v>
          </cell>
          <cell r="Z63">
            <v>150088.72089686527</v>
          </cell>
          <cell r="AA63">
            <v>10791.249712657911</v>
          </cell>
          <cell r="AB63">
            <v>208.45655680120177</v>
          </cell>
          <cell r="AC63">
            <v>71.899138377448168</v>
          </cell>
          <cell r="AD63">
            <v>900.53232538119164</v>
          </cell>
          <cell r="AE63">
            <v>11691.782038039102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 t="str">
            <v>stroški v €</v>
          </cell>
          <cell r="G64">
            <v>4115.16</v>
          </cell>
          <cell r="H64">
            <v>4011.73</v>
          </cell>
          <cell r="I64">
            <v>3689.0399999999995</v>
          </cell>
          <cell r="J64">
            <v>3165.41</v>
          </cell>
          <cell r="K64">
            <v>3745.3349999999996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 t="str">
            <v>stroški v €</v>
          </cell>
          <cell r="T64">
            <v>12064.599999999999</v>
          </cell>
          <cell r="U64">
            <v>12892.45</v>
          </cell>
          <cell r="V64">
            <v>10154.219999999999</v>
          </cell>
          <cell r="W64">
            <v>5786.72</v>
          </cell>
          <cell r="X64">
            <v>10224.497499999999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</row>
        <row r="65">
          <cell r="A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</row>
        <row r="66">
          <cell r="A66" t="str">
            <v>OB20</v>
          </cell>
          <cell r="B66" t="str">
            <v>ZZŠK Pokriti olimpijski bazen</v>
          </cell>
          <cell r="C66" t="str">
            <v>Partizanska cesta 37, 4000 Kranj</v>
          </cell>
          <cell r="D66">
            <v>6345</v>
          </cell>
          <cell r="E66">
            <v>1995</v>
          </cell>
          <cell r="F66" t="str">
            <v>raba v kWh</v>
          </cell>
          <cell r="G66">
            <v>1790217</v>
          </cell>
          <cell r="H66">
            <v>1771889</v>
          </cell>
          <cell r="I66">
            <v>1757057</v>
          </cell>
          <cell r="J66">
            <v>1789811</v>
          </cell>
          <cell r="K66">
            <v>1777243.5</v>
          </cell>
          <cell r="L66">
            <v>280.10141843971633</v>
          </cell>
          <cell r="M66">
            <v>1777243.5</v>
          </cell>
          <cell r="N66">
            <v>147560.20000000001</v>
          </cell>
          <cell r="O66">
            <v>280.10141843971633</v>
          </cell>
          <cell r="P66">
            <v>83.027564877857202</v>
          </cell>
          <cell r="Q66">
            <v>0</v>
          </cell>
          <cell r="R66" t="str">
            <v>ZP</v>
          </cell>
          <cell r="S66" t="str">
            <v>raba v kWh</v>
          </cell>
          <cell r="T66">
            <v>763337.27999999991</v>
          </cell>
          <cell r="U66">
            <v>356010.72</v>
          </cell>
          <cell r="V66">
            <v>769492.15999999992</v>
          </cell>
          <cell r="W66">
            <v>510298.07999999996</v>
          </cell>
          <cell r="X66">
            <v>599784.55999999994</v>
          </cell>
          <cell r="Y66">
            <v>94.528693459416857</v>
          </cell>
          <cell r="Z66">
            <v>633031.10600365954</v>
          </cell>
          <cell r="AA66">
            <v>35914.479406298189</v>
          </cell>
          <cell r="AB66">
            <v>99.768495824059812</v>
          </cell>
          <cell r="AC66">
            <v>56.734146340812778</v>
          </cell>
          <cell r="AD66">
            <v>3798.1866360219574</v>
          </cell>
          <cell r="AE66">
            <v>3798.1866360219574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 t="str">
            <v>stroški v €</v>
          </cell>
          <cell r="G67">
            <v>168046.3</v>
          </cell>
          <cell r="H67">
            <v>154075.48000000001</v>
          </cell>
          <cell r="I67">
            <v>141661.89000000001</v>
          </cell>
          <cell r="J67">
            <v>126457.13000000002</v>
          </cell>
          <cell r="K67">
            <v>147560.20000000001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 t="str">
            <v>stroški v €</v>
          </cell>
          <cell r="T67">
            <v>49515.139999999992</v>
          </cell>
          <cell r="U67">
            <v>20965.189999999999</v>
          </cell>
          <cell r="V67">
            <v>39929.46</v>
          </cell>
          <cell r="W67">
            <v>25703.270000000004</v>
          </cell>
          <cell r="X67">
            <v>34028.264999999999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</row>
        <row r="68">
          <cell r="A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</row>
        <row r="69">
          <cell r="A69" t="str">
            <v>OB21</v>
          </cell>
          <cell r="B69" t="str">
            <v>Mestna knjižnica Kranj</v>
          </cell>
          <cell r="C69" t="str">
            <v>Gregorčičeva ulica 1, 4000 Kranj</v>
          </cell>
          <cell r="D69">
            <v>14261</v>
          </cell>
          <cell r="E69">
            <v>1972</v>
          </cell>
          <cell r="F69" t="str">
            <v>raba v kWh</v>
          </cell>
          <cell r="G69">
            <v>423963</v>
          </cell>
          <cell r="H69">
            <v>390233</v>
          </cell>
          <cell r="I69">
            <v>444305</v>
          </cell>
          <cell r="J69">
            <v>449467</v>
          </cell>
          <cell r="K69">
            <v>426992</v>
          </cell>
          <cell r="L69">
            <v>29.941238342332234</v>
          </cell>
          <cell r="M69">
            <v>426992</v>
          </cell>
          <cell r="N69">
            <v>37011.815000000002</v>
          </cell>
          <cell r="O69">
            <v>29.941238342332234</v>
          </cell>
          <cell r="P69">
            <v>86.680347641173611</v>
          </cell>
          <cell r="Q69">
            <v>0</v>
          </cell>
          <cell r="R69" t="str">
            <v>ZP</v>
          </cell>
          <cell r="S69" t="str">
            <v>raba v kWh</v>
          </cell>
          <cell r="T69">
            <v>464504.63999999996</v>
          </cell>
          <cell r="U69">
            <v>304779.83999999997</v>
          </cell>
          <cell r="V69">
            <v>435287.83999999997</v>
          </cell>
          <cell r="W69">
            <v>412782.88</v>
          </cell>
          <cell r="X69">
            <v>404338.79999999993</v>
          </cell>
          <cell r="Y69">
            <v>28.35276628567421</v>
          </cell>
          <cell r="Z69">
            <v>426751.62855841516</v>
          </cell>
          <cell r="AA69">
            <v>23188.690977170842</v>
          </cell>
          <cell r="AB69">
            <v>29.92438318199391</v>
          </cell>
          <cell r="AC69">
            <v>54.337674247438045</v>
          </cell>
          <cell r="AD69">
            <v>2560.5097713504911</v>
          </cell>
          <cell r="AE69">
            <v>25749.200748521333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 t="str">
            <v>stroški v €</v>
          </cell>
          <cell r="G70">
            <v>39378.49</v>
          </cell>
          <cell r="H70">
            <v>33961.439999999995</v>
          </cell>
          <cell r="I70">
            <v>36693.469999999994</v>
          </cell>
          <cell r="J70">
            <v>38013.86</v>
          </cell>
          <cell r="K70">
            <v>37011.815000000002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 t="str">
            <v>stroški v €</v>
          </cell>
          <cell r="T70">
            <v>27760.729999999996</v>
          </cell>
          <cell r="U70">
            <v>16893.330000000002</v>
          </cell>
          <cell r="V70">
            <v>23142.53</v>
          </cell>
          <cell r="W70">
            <v>20086.73</v>
          </cell>
          <cell r="X70">
            <v>21970.829999999998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</row>
        <row r="71">
          <cell r="A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</row>
        <row r="72">
          <cell r="A72" t="str">
            <v>OB22</v>
          </cell>
          <cell r="B72" t="str">
            <v>Zdravstveni dom Kranj</v>
          </cell>
          <cell r="C72" t="str">
            <v>Gosposvetska ulica 10, 4000 Kranj</v>
          </cell>
          <cell r="D72">
            <v>5508</v>
          </cell>
          <cell r="E72">
            <v>1959</v>
          </cell>
          <cell r="F72" t="str">
            <v>raba v kWh</v>
          </cell>
          <cell r="G72">
            <v>562773</v>
          </cell>
          <cell r="H72">
            <v>557925</v>
          </cell>
          <cell r="I72">
            <v>562152</v>
          </cell>
          <cell r="J72">
            <v>556794</v>
          </cell>
          <cell r="K72">
            <v>559911</v>
          </cell>
          <cell r="L72">
            <v>101.65413943355119</v>
          </cell>
          <cell r="M72">
            <v>559911</v>
          </cell>
          <cell r="N72">
            <v>48690.464999999997</v>
          </cell>
          <cell r="O72">
            <v>101.65413943355119</v>
          </cell>
          <cell r="P72">
            <v>86.961079528710812</v>
          </cell>
          <cell r="Q72">
            <v>0</v>
          </cell>
          <cell r="R72" t="str">
            <v>ELKO</v>
          </cell>
          <cell r="S72" t="str">
            <v>raba v kWh</v>
          </cell>
          <cell r="T72">
            <v>1742962.9700000002</v>
          </cell>
          <cell r="U72">
            <v>1434894.4000000001</v>
          </cell>
          <cell r="V72">
            <v>1447906.1800000002</v>
          </cell>
          <cell r="W72">
            <v>1441371.8800000001</v>
          </cell>
          <cell r="X72">
            <v>1516783.8575000002</v>
          </cell>
          <cell r="Y72">
            <v>275.37833287944812</v>
          </cell>
          <cell r="Z72">
            <v>1600860.4204178287</v>
          </cell>
          <cell r="AA72">
            <v>23694.456061511661</v>
          </cell>
          <cell r="AB72">
            <v>290.64277785363629</v>
          </cell>
          <cell r="AC72">
            <v>14.801075571177748</v>
          </cell>
          <cell r="AD72">
            <v>9605.1625225069729</v>
          </cell>
          <cell r="AE72">
            <v>33299.618584018637</v>
          </cell>
        </row>
        <row r="73">
          <cell r="A73">
            <v>0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 t="str">
            <v>stroški v €</v>
          </cell>
          <cell r="G73">
            <v>0</v>
          </cell>
          <cell r="H73">
            <v>0</v>
          </cell>
          <cell r="I73">
            <v>42434.340000000004</v>
          </cell>
          <cell r="J73">
            <v>54946.59</v>
          </cell>
          <cell r="K73">
            <v>48690.464999999997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 t="str">
            <v>stroški v €</v>
          </cell>
          <cell r="T73">
            <v>0</v>
          </cell>
          <cell r="U73">
            <v>0</v>
          </cell>
          <cell r="V73">
            <v>24216.880000000001</v>
          </cell>
          <cell r="W73">
            <v>65583.25</v>
          </cell>
          <cell r="X73">
            <v>22450.032500000001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</row>
        <row r="74">
          <cell r="A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</row>
        <row r="75">
          <cell r="A75" t="str">
            <v>OB23</v>
          </cell>
          <cell r="B75" t="str">
            <v>Grad Khislstein</v>
          </cell>
          <cell r="C75" t="str">
            <v>Tomšičeva ulica 44, 4000 Kranj</v>
          </cell>
          <cell r="D75">
            <v>684</v>
          </cell>
          <cell r="E75">
            <v>1650</v>
          </cell>
          <cell r="F75" t="str">
            <v>raba v kWh</v>
          </cell>
          <cell r="G75">
            <v>0</v>
          </cell>
          <cell r="H75">
            <v>71052</v>
          </cell>
          <cell r="I75">
            <v>84414</v>
          </cell>
          <cell r="J75">
            <v>76205</v>
          </cell>
          <cell r="K75">
            <v>77223.666666666672</v>
          </cell>
          <cell r="L75">
            <v>112.90009746588694</v>
          </cell>
          <cell r="M75">
            <v>77223.666666666672</v>
          </cell>
          <cell r="N75">
            <v>6970.5599999999986</v>
          </cell>
          <cell r="O75">
            <v>112.90009746588694</v>
          </cell>
          <cell r="P75">
            <v>90.264556202545819</v>
          </cell>
          <cell r="Q75">
            <v>0</v>
          </cell>
          <cell r="R75" t="str">
            <v>ZP</v>
          </cell>
          <cell r="S75" t="str">
            <v>raba v kWh</v>
          </cell>
          <cell r="T75">
            <v>0</v>
          </cell>
          <cell r="U75">
            <v>236522.72000000003</v>
          </cell>
          <cell r="V75">
            <v>322945.94</v>
          </cell>
          <cell r="W75">
            <v>306146.16000000003</v>
          </cell>
          <cell r="X75">
            <v>279734.33</v>
          </cell>
          <cell r="Y75">
            <v>408.96831871345034</v>
          </cell>
          <cell r="Z75">
            <v>295240.23143758939</v>
          </cell>
          <cell r="AA75">
            <v>15717.95589362909</v>
          </cell>
          <cell r="AB75">
            <v>431.63776525963362</v>
          </cell>
          <cell r="AC75">
            <v>53.237852500978335</v>
          </cell>
          <cell r="AD75">
            <v>1771.4413886255363</v>
          </cell>
          <cell r="AE75">
            <v>1771.4413886255363</v>
          </cell>
        </row>
        <row r="76">
          <cell r="A76">
            <v>0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 t="str">
            <v>stroški v €</v>
          </cell>
          <cell r="G76">
            <v>0</v>
          </cell>
          <cell r="H76">
            <v>6979.4299999999985</v>
          </cell>
          <cell r="I76">
            <v>7220.9299999999994</v>
          </cell>
          <cell r="J76">
            <v>6711.3200000000006</v>
          </cell>
          <cell r="K76">
            <v>6970.5599999999986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 t="str">
            <v>stroški v €</v>
          </cell>
          <cell r="T76">
            <v>0</v>
          </cell>
          <cell r="U76">
            <v>12902.25</v>
          </cell>
          <cell r="V76">
            <v>16882.66</v>
          </cell>
          <cell r="W76">
            <v>14920.130000000001</v>
          </cell>
          <cell r="X76">
            <v>14892.455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</row>
        <row r="77">
          <cell r="A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</row>
        <row r="78">
          <cell r="A78" t="str">
            <v>OB24</v>
          </cell>
          <cell r="B78" t="str">
            <v>Glasbena šola Kranj - Poštna ulica</v>
          </cell>
          <cell r="C78" t="str">
            <v>Poštna ulica 3, 4000 Kranj</v>
          </cell>
          <cell r="D78">
            <v>969</v>
          </cell>
          <cell r="E78">
            <v>1949</v>
          </cell>
          <cell r="F78" t="str">
            <v>raba v kWh</v>
          </cell>
          <cell r="G78">
            <v>19770</v>
          </cell>
          <cell r="H78">
            <v>29142</v>
          </cell>
          <cell r="I78">
            <v>20237</v>
          </cell>
          <cell r="J78">
            <v>24964</v>
          </cell>
          <cell r="K78">
            <v>23528.25</v>
          </cell>
          <cell r="L78">
            <v>24.28095975232198</v>
          </cell>
          <cell r="M78">
            <v>23528.25</v>
          </cell>
          <cell r="N78">
            <v>2550.9575</v>
          </cell>
          <cell r="O78">
            <v>24.28095975232198</v>
          </cell>
          <cell r="P78">
            <v>108.42104703919756</v>
          </cell>
          <cell r="Q78">
            <v>0</v>
          </cell>
          <cell r="R78" t="str">
            <v>ELKO</v>
          </cell>
          <cell r="S78" t="str">
            <v>raba v kWh</v>
          </cell>
          <cell r="T78">
            <v>147443</v>
          </cell>
          <cell r="U78">
            <v>124585</v>
          </cell>
          <cell r="V78">
            <v>70140</v>
          </cell>
          <cell r="W78">
            <v>0</v>
          </cell>
          <cell r="X78">
            <v>114056</v>
          </cell>
          <cell r="Y78">
            <v>117.70485036119712</v>
          </cell>
          <cell r="Z78">
            <v>120378.21684898558</v>
          </cell>
          <cell r="AA78">
            <v>12121.464576857614</v>
          </cell>
          <cell r="AB78">
            <v>124.2293259535455</v>
          </cell>
          <cell r="AC78">
            <v>100.6948341165743</v>
          </cell>
          <cell r="AD78">
            <v>722.26930109391355</v>
          </cell>
          <cell r="AE78">
            <v>12843.733877951527</v>
          </cell>
        </row>
        <row r="79">
          <cell r="A79">
            <v>0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 t="str">
            <v>stroški v €</v>
          </cell>
          <cell r="G79">
            <v>2332.5499999999997</v>
          </cell>
          <cell r="H79">
            <v>3180.23</v>
          </cell>
          <cell r="I79">
            <v>1799.64</v>
          </cell>
          <cell r="J79">
            <v>2891.4100000000003</v>
          </cell>
          <cell r="K79">
            <v>2550.9575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 t="str">
            <v>stroški v €</v>
          </cell>
          <cell r="T79">
            <v>12915.82</v>
          </cell>
          <cell r="U79">
            <v>16737.019999999997</v>
          </cell>
          <cell r="V79">
            <v>4801.71</v>
          </cell>
          <cell r="W79">
            <v>9198.44</v>
          </cell>
          <cell r="X79">
            <v>11484.849999999999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</row>
        <row r="80">
          <cell r="A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</row>
        <row r="81">
          <cell r="A81" t="str">
            <v>OB25</v>
          </cell>
          <cell r="B81" t="str">
            <v>Glasbena šola Kranj - Trubarjev trg</v>
          </cell>
          <cell r="C81" t="str">
            <v>Trubarjev trg 3, 4000 Kranj</v>
          </cell>
          <cell r="D81">
            <v>491</v>
          </cell>
          <cell r="E81">
            <v>1949</v>
          </cell>
          <cell r="F81" t="str">
            <v>raba v kWh</v>
          </cell>
          <cell r="G81">
            <v>15080</v>
          </cell>
          <cell r="H81">
            <v>4781</v>
          </cell>
          <cell r="I81">
            <v>6896</v>
          </cell>
          <cell r="J81">
            <v>8829</v>
          </cell>
          <cell r="K81">
            <v>8896.5</v>
          </cell>
          <cell r="L81">
            <v>18.119144602851325</v>
          </cell>
          <cell r="M81">
            <v>8896.5</v>
          </cell>
          <cell r="N81">
            <v>1305.5925000000002</v>
          </cell>
          <cell r="O81">
            <v>18.119144602851325</v>
          </cell>
          <cell r="P81">
            <v>146.75349856685216</v>
          </cell>
          <cell r="Q81">
            <v>0</v>
          </cell>
          <cell r="R81" t="str">
            <v>ZP</v>
          </cell>
          <cell r="S81" t="str">
            <v>raba v kWh</v>
          </cell>
          <cell r="T81">
            <v>25200</v>
          </cell>
          <cell r="U81">
            <v>50400</v>
          </cell>
          <cell r="V81">
            <v>90720</v>
          </cell>
          <cell r="W81">
            <v>37306.080000000002</v>
          </cell>
          <cell r="X81">
            <v>50906.520000000004</v>
          </cell>
          <cell r="Y81">
            <v>103.679266802444</v>
          </cell>
          <cell r="Z81">
            <v>53728.309809104489</v>
          </cell>
          <cell r="AA81">
            <v>3257.6399769870632</v>
          </cell>
          <cell r="AB81">
            <v>109.42629289023317</v>
          </cell>
          <cell r="AC81">
            <v>60.631722616277834</v>
          </cell>
          <cell r="AD81">
            <v>322.36985885462695</v>
          </cell>
          <cell r="AE81">
            <v>3580.0098358416899</v>
          </cell>
        </row>
        <row r="82">
          <cell r="A82">
            <v>0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 t="str">
            <v>stroški v €</v>
          </cell>
          <cell r="G82">
            <v>1966.1700000000003</v>
          </cell>
          <cell r="H82">
            <v>844.66000000000008</v>
          </cell>
          <cell r="I82">
            <v>1074.78</v>
          </cell>
          <cell r="J82">
            <v>1336.7599999999998</v>
          </cell>
          <cell r="K82">
            <v>1305.5925000000002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 t="str">
            <v>stroški v €</v>
          </cell>
          <cell r="T82">
            <v>2015.45</v>
          </cell>
          <cell r="U82">
            <v>4003.08</v>
          </cell>
          <cell r="V82">
            <v>6327.67</v>
          </cell>
          <cell r="W82">
            <v>0</v>
          </cell>
          <cell r="X82">
            <v>3086.55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</row>
        <row r="83">
          <cell r="A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</row>
        <row r="84">
          <cell r="A84" t="str">
            <v>OB26</v>
          </cell>
          <cell r="B84" t="str">
            <v>Ljudska univerza Kranj</v>
          </cell>
          <cell r="C84" t="str">
            <v>Cesta Staneta Žagarja 1, 4000 Kranj</v>
          </cell>
          <cell r="D84">
            <v>1916</v>
          </cell>
          <cell r="E84">
            <v>627</v>
          </cell>
          <cell r="F84" t="str">
            <v>raba v kWh</v>
          </cell>
          <cell r="G84">
            <v>22018</v>
          </cell>
          <cell r="H84">
            <v>25443</v>
          </cell>
          <cell r="I84">
            <v>20935</v>
          </cell>
          <cell r="J84">
            <v>21877</v>
          </cell>
          <cell r="K84">
            <v>22568.25</v>
          </cell>
          <cell r="L84">
            <v>11.778836116910229</v>
          </cell>
          <cell r="M84">
            <v>22568.25</v>
          </cell>
          <cell r="N84">
            <v>2308.7050000000004</v>
          </cell>
          <cell r="O84">
            <v>11.778836116910229</v>
          </cell>
          <cell r="P84">
            <v>102.29880473674301</v>
          </cell>
          <cell r="Q84">
            <v>0</v>
          </cell>
          <cell r="R84" t="str">
            <v>ZP</v>
          </cell>
          <cell r="S84" t="str">
            <v>raba v kWh</v>
          </cell>
          <cell r="T84">
            <v>84667.36</v>
          </cell>
          <cell r="U84">
            <v>71913.919999999998</v>
          </cell>
          <cell r="V84">
            <v>67835.839999999997</v>
          </cell>
          <cell r="W84">
            <v>72697.440000000002</v>
          </cell>
          <cell r="X84">
            <v>74278.64</v>
          </cell>
          <cell r="Y84">
            <v>38.767557411273486</v>
          </cell>
          <cell r="Z84">
            <v>78395.965430733442</v>
          </cell>
          <cell r="AA84">
            <v>4487.2802004043233</v>
          </cell>
          <cell r="AB84">
            <v>40.916474650695953</v>
          </cell>
          <cell r="AC84">
            <v>57.238662420313567</v>
          </cell>
          <cell r="AD84">
            <v>470.37579258440064</v>
          </cell>
          <cell r="AE84">
            <v>470.37579258440064</v>
          </cell>
        </row>
        <row r="85">
          <cell r="A85">
            <v>0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 t="str">
            <v>stroški v €</v>
          </cell>
          <cell r="G85">
            <v>2360.9299999999998</v>
          </cell>
          <cell r="H85">
            <v>2715.2000000000007</v>
          </cell>
          <cell r="I85">
            <v>2185.41</v>
          </cell>
          <cell r="J85">
            <v>1973.2800000000002</v>
          </cell>
          <cell r="K85">
            <v>2308.7050000000004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 t="str">
            <v>stroški v €</v>
          </cell>
          <cell r="T85">
            <v>5067.33</v>
          </cell>
          <cell r="U85">
            <v>4128.58</v>
          </cell>
          <cell r="V85">
            <v>3728.3400000000006</v>
          </cell>
          <cell r="W85">
            <v>4082.1899999999996</v>
          </cell>
          <cell r="X85">
            <v>4251.6099999999997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</row>
        <row r="86">
          <cell r="A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</row>
        <row r="87">
          <cell r="A87" t="str">
            <v>OB27</v>
          </cell>
          <cell r="B87" t="str">
            <v>OŠ Predoslje</v>
          </cell>
          <cell r="C87" t="str">
            <v>Predoslje 17a, 4000 Kranj</v>
          </cell>
          <cell r="D87">
            <v>4992</v>
          </cell>
          <cell r="E87">
            <v>1973</v>
          </cell>
          <cell r="F87" t="str">
            <v>raba v kWh</v>
          </cell>
          <cell r="G87">
            <v>124382</v>
          </cell>
          <cell r="H87">
            <v>132315</v>
          </cell>
          <cell r="I87">
            <v>121851</v>
          </cell>
          <cell r="J87">
            <v>131646</v>
          </cell>
          <cell r="K87">
            <v>127548.5</v>
          </cell>
          <cell r="L87">
            <v>25.550580929487179</v>
          </cell>
          <cell r="M87">
            <v>127548.5</v>
          </cell>
          <cell r="N87">
            <v>15341.187499999998</v>
          </cell>
          <cell r="O87">
            <v>25.550580929487179</v>
          </cell>
          <cell r="P87">
            <v>120.27728667918477</v>
          </cell>
          <cell r="Q87">
            <v>0</v>
          </cell>
          <cell r="R87" t="str">
            <v>biomasa</v>
          </cell>
          <cell r="S87" t="str">
            <v>raba v kWh</v>
          </cell>
          <cell r="T87">
            <v>0</v>
          </cell>
          <cell r="U87">
            <v>0</v>
          </cell>
          <cell r="V87">
            <v>424800</v>
          </cell>
          <cell r="W87">
            <v>350425</v>
          </cell>
          <cell r="X87">
            <v>387612.5</v>
          </cell>
          <cell r="Y87">
            <v>77.646734775641022</v>
          </cell>
          <cell r="Z87">
            <v>409098.17614485358</v>
          </cell>
          <cell r="AA87">
            <v>19963.990995868855</v>
          </cell>
          <cell r="AB87">
            <v>81.950756439273547</v>
          </cell>
          <cell r="AC87">
            <v>48.8</v>
          </cell>
          <cell r="AD87">
            <v>2454.5890568691211</v>
          </cell>
          <cell r="AE87">
            <v>22418.580052737976</v>
          </cell>
        </row>
        <row r="88">
          <cell r="A88">
            <v>0</v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 t="str">
            <v>stroški v €</v>
          </cell>
          <cell r="G88">
            <v>15936.380000000001</v>
          </cell>
          <cell r="H88">
            <v>15567.91</v>
          </cell>
          <cell r="I88">
            <v>14157.739999999998</v>
          </cell>
          <cell r="J88">
            <v>15702.720000000001</v>
          </cell>
          <cell r="K88">
            <v>15341.1875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 t="str">
            <v>stroški v €</v>
          </cell>
          <cell r="T88">
            <v>0</v>
          </cell>
          <cell r="U88">
            <v>0</v>
          </cell>
          <cell r="V88">
            <v>20730.239999999998</v>
          </cell>
          <cell r="W88">
            <v>17100.740000000002</v>
          </cell>
          <cell r="X88">
            <v>18915.489999999998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</row>
        <row r="89">
          <cell r="A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</row>
        <row r="90">
          <cell r="A90" t="str">
            <v>OB28</v>
          </cell>
          <cell r="B90" t="str">
            <v>OŠ Simona Jenka - PŠ Goriče</v>
          </cell>
          <cell r="C90" t="str">
            <v>Goriče 1, 4204 Srednja vas - Goriče</v>
          </cell>
          <cell r="D90">
            <v>112</v>
          </cell>
          <cell r="E90">
            <v>1995</v>
          </cell>
          <cell r="F90" t="str">
            <v>raba v kWh</v>
          </cell>
          <cell r="G90">
            <v>46950</v>
          </cell>
          <cell r="H90">
            <v>39103</v>
          </cell>
          <cell r="I90">
            <v>34622</v>
          </cell>
          <cell r="J90">
            <v>32694</v>
          </cell>
          <cell r="K90">
            <v>38342.25</v>
          </cell>
          <cell r="L90">
            <v>342.34151785714283</v>
          </cell>
          <cell r="M90">
            <v>38342.25</v>
          </cell>
          <cell r="N90">
            <v>4676.2175000000007</v>
          </cell>
          <cell r="O90">
            <v>342.34151785714283</v>
          </cell>
          <cell r="P90">
            <v>121.95991367225452</v>
          </cell>
          <cell r="Q90">
            <v>0</v>
          </cell>
          <cell r="R90" t="str">
            <v>ZP</v>
          </cell>
          <cell r="S90" t="str">
            <v>raba v kWh</v>
          </cell>
          <cell r="T90">
            <v>122088.96000000001</v>
          </cell>
          <cell r="U90">
            <v>77646.240000000005</v>
          </cell>
          <cell r="V90">
            <v>110890.08</v>
          </cell>
          <cell r="W90">
            <v>80660.160000000003</v>
          </cell>
          <cell r="X90">
            <v>97821.360000000015</v>
          </cell>
          <cell r="Y90">
            <v>873.40500000000009</v>
          </cell>
          <cell r="Z90">
            <v>103243.67754912224</v>
          </cell>
          <cell r="AA90">
            <v>7480.4371312935982</v>
          </cell>
          <cell r="AB90">
            <v>921.8185495457343</v>
          </cell>
          <cell r="AC90">
            <v>72.454190986508465</v>
          </cell>
          <cell r="AD90">
            <v>619.46206529473341</v>
          </cell>
          <cell r="AE90">
            <v>8099.8991965883315</v>
          </cell>
        </row>
        <row r="91">
          <cell r="A91">
            <v>0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 t="str">
            <v>stroški v €</v>
          </cell>
          <cell r="G91">
            <v>5785.01</v>
          </cell>
          <cell r="H91">
            <v>4767.9600000000009</v>
          </cell>
          <cell r="I91">
            <v>3846.2399999999993</v>
          </cell>
          <cell r="J91">
            <v>4305.66</v>
          </cell>
          <cell r="K91">
            <v>4676.2175000000007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 t="str">
            <v>stroški v €</v>
          </cell>
          <cell r="T91">
            <v>9797.48</v>
          </cell>
          <cell r="U91">
            <v>6130.43</v>
          </cell>
          <cell r="V91">
            <v>7312.61</v>
          </cell>
          <cell r="W91">
            <v>5109.75</v>
          </cell>
          <cell r="X91">
            <v>7087.5675000000001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</row>
        <row r="92">
          <cell r="A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</row>
        <row r="93">
          <cell r="A93" t="str">
            <v>OB29</v>
          </cell>
          <cell r="B93" t="str">
            <v>OŠ Mavčiče</v>
          </cell>
          <cell r="C93" t="str">
            <v>Mavčiče 61, 4211 Mavčiče</v>
          </cell>
          <cell r="D93">
            <v>375</v>
          </cell>
          <cell r="E93">
            <v>1992</v>
          </cell>
          <cell r="F93" t="str">
            <v>raba v kWh</v>
          </cell>
          <cell r="G93">
            <v>19636</v>
          </cell>
          <cell r="H93">
            <v>27167</v>
          </cell>
          <cell r="I93">
            <v>27274</v>
          </cell>
          <cell r="J93">
            <v>0</v>
          </cell>
          <cell r="K93">
            <v>24692.333333333332</v>
          </cell>
          <cell r="L93">
            <v>65.846222222222224</v>
          </cell>
          <cell r="M93">
            <v>24692.333333333332</v>
          </cell>
          <cell r="N93">
            <v>2936.8166666666662</v>
          </cell>
          <cell r="O93">
            <v>65.846222222222224</v>
          </cell>
          <cell r="P93">
            <v>118.93637701310797</v>
          </cell>
          <cell r="Q93">
            <v>0</v>
          </cell>
          <cell r="R93" t="str">
            <v>ELKO</v>
          </cell>
          <cell r="S93" t="str">
            <v>raba v kWh</v>
          </cell>
          <cell r="T93">
            <v>59552.639999999999</v>
          </cell>
          <cell r="U93">
            <v>92856.960000000006</v>
          </cell>
          <cell r="V93">
            <v>95981.759999999995</v>
          </cell>
          <cell r="W93">
            <v>0</v>
          </cell>
          <cell r="X93">
            <v>82797.119999999995</v>
          </cell>
          <cell r="Y93">
            <v>220.79231999999999</v>
          </cell>
          <cell r="Z93">
            <v>87386.631705754015</v>
          </cell>
          <cell r="AA93">
            <v>6459.3210122495948</v>
          </cell>
          <cell r="AB93">
            <v>233.0310178820107</v>
          </cell>
          <cell r="AC93">
            <v>73.91658067333745</v>
          </cell>
          <cell r="AD93">
            <v>524.31979023452402</v>
          </cell>
          <cell r="AE93">
            <v>524.31979023452402</v>
          </cell>
        </row>
        <row r="94">
          <cell r="A94">
            <v>0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 t="str">
            <v>stroški v €</v>
          </cell>
          <cell r="G94">
            <v>2682.4700000000003</v>
          </cell>
          <cell r="H94">
            <v>3147.36</v>
          </cell>
          <cell r="I94">
            <v>2980.619999999999</v>
          </cell>
          <cell r="J94">
            <v>0</v>
          </cell>
          <cell r="K94">
            <v>2936.8166666666662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 t="str">
            <v>stroški v €</v>
          </cell>
          <cell r="T94">
            <v>4777.9799999999996</v>
          </cell>
          <cell r="U94">
            <v>7341.6500000000005</v>
          </cell>
          <cell r="V94">
            <v>6240.6100000000006</v>
          </cell>
          <cell r="W94">
            <v>0</v>
          </cell>
          <cell r="X94">
            <v>6120.0800000000008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</row>
        <row r="95">
          <cell r="A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</row>
        <row r="96">
          <cell r="A96" t="str">
            <v>OB30</v>
          </cell>
          <cell r="B96" t="str">
            <v>VVZ Čenča</v>
          </cell>
          <cell r="C96" t="str">
            <v>Oprešnikova 4a, 4000 Kranj</v>
          </cell>
          <cell r="D96">
            <v>248</v>
          </cell>
          <cell r="E96">
            <v>1973</v>
          </cell>
          <cell r="F96" t="str">
            <v>raba v kWh</v>
          </cell>
          <cell r="G96">
            <v>9943</v>
          </cell>
          <cell r="H96">
            <v>9554</v>
          </cell>
          <cell r="I96">
            <v>10090</v>
          </cell>
          <cell r="J96">
            <v>9700</v>
          </cell>
          <cell r="K96">
            <v>9821.75</v>
          </cell>
          <cell r="L96">
            <v>39.603830645161288</v>
          </cell>
          <cell r="M96">
            <v>9821.75</v>
          </cell>
          <cell r="N96">
            <v>904.93500000000017</v>
          </cell>
          <cell r="O96">
            <v>39.603830645161288</v>
          </cell>
          <cell r="P96">
            <v>92.135821009494251</v>
          </cell>
          <cell r="Q96">
            <v>0</v>
          </cell>
          <cell r="R96" t="str">
            <v>ELKO</v>
          </cell>
          <cell r="S96" t="str">
            <v>raba v kWh</v>
          </cell>
          <cell r="T96">
            <v>20170.080000000002</v>
          </cell>
          <cell r="U96">
            <v>58453.919999999998</v>
          </cell>
          <cell r="V96">
            <v>36419.040000000001</v>
          </cell>
          <cell r="W96">
            <v>45400.32</v>
          </cell>
          <cell r="X96">
            <v>38347.68</v>
          </cell>
          <cell r="Y96">
            <v>154.62774193548387</v>
          </cell>
          <cell r="Z96">
            <v>40473.323093002626</v>
          </cell>
          <cell r="AA96">
            <v>3013.244417844614</v>
          </cell>
          <cell r="AB96">
            <v>163.19888343952672</v>
          </cell>
          <cell r="AC96">
            <v>74.450136227276317</v>
          </cell>
          <cell r="AD96">
            <v>242.83993855801575</v>
          </cell>
          <cell r="AE96">
            <v>242.83993855801575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 t="str">
            <v>stroški v €</v>
          </cell>
          <cell r="G97">
            <v>1058.0500000000002</v>
          </cell>
          <cell r="H97">
            <v>1072.22</v>
          </cell>
          <cell r="I97">
            <v>752.00999999999988</v>
          </cell>
          <cell r="J97">
            <v>737.45999999999992</v>
          </cell>
          <cell r="K97">
            <v>904.93500000000006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 t="str">
            <v>stroški v €</v>
          </cell>
          <cell r="T97">
            <v>1590.9</v>
          </cell>
          <cell r="U97">
            <v>4707.2299999999996</v>
          </cell>
          <cell r="V97">
            <v>2266.84</v>
          </cell>
          <cell r="W97">
            <v>3006.4300000000003</v>
          </cell>
          <cell r="X97">
            <v>2854.99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</row>
        <row r="98">
          <cell r="A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</row>
        <row r="99">
          <cell r="A99" t="str">
            <v>OB31</v>
          </cell>
          <cell r="B99" t="str">
            <v>VVZ Ciciban</v>
          </cell>
          <cell r="C99" t="str">
            <v>Likozarjeva 22, 4000 Kranj</v>
          </cell>
          <cell r="D99">
            <v>134</v>
          </cell>
          <cell r="E99">
            <v>1959</v>
          </cell>
          <cell r="F99" t="str">
            <v>raba v kWh</v>
          </cell>
          <cell r="G99">
            <v>0</v>
          </cell>
          <cell r="H99">
            <v>0</v>
          </cell>
          <cell r="I99">
            <v>0</v>
          </cell>
          <cell r="J99">
            <v>4580</v>
          </cell>
          <cell r="K99">
            <v>4580</v>
          </cell>
          <cell r="L99">
            <v>34.179104477611943</v>
          </cell>
          <cell r="M99">
            <v>4580</v>
          </cell>
          <cell r="N99">
            <v>373.86</v>
          </cell>
          <cell r="O99">
            <v>34.179104477611943</v>
          </cell>
          <cell r="P99">
            <v>81.62882096069869</v>
          </cell>
          <cell r="Q99">
            <v>0</v>
          </cell>
          <cell r="R99" t="str">
            <v>ELKO</v>
          </cell>
          <cell r="S99" t="str">
            <v>raba v kWh</v>
          </cell>
          <cell r="T99">
            <v>0</v>
          </cell>
          <cell r="U99">
            <v>0</v>
          </cell>
          <cell r="V99">
            <v>0</v>
          </cell>
          <cell r="W99">
            <v>28405.439999999999</v>
          </cell>
          <cell r="X99">
            <v>28405.439999999999</v>
          </cell>
          <cell r="Y99">
            <v>211.98089552238804</v>
          </cell>
          <cell r="Z99">
            <v>29979.976643147653</v>
          </cell>
          <cell r="AA99">
            <v>1681.1007538334916</v>
          </cell>
          <cell r="AB99">
            <v>223.73116897871384</v>
          </cell>
          <cell r="AC99">
            <v>56.074118197077745</v>
          </cell>
          <cell r="AD99">
            <v>179.87985985888594</v>
          </cell>
          <cell r="AE99">
            <v>1860.9806136923776</v>
          </cell>
        </row>
        <row r="100">
          <cell r="A100">
            <v>0</v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 t="str">
            <v>stroški v €</v>
          </cell>
          <cell r="G100">
            <v>0</v>
          </cell>
          <cell r="H100">
            <v>0</v>
          </cell>
          <cell r="I100">
            <v>0</v>
          </cell>
          <cell r="J100">
            <v>373.86</v>
          </cell>
          <cell r="K100">
            <v>373.86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 t="str">
            <v>stroški v €</v>
          </cell>
          <cell r="T100">
            <v>0</v>
          </cell>
          <cell r="U100">
            <v>0</v>
          </cell>
          <cell r="V100">
            <v>0</v>
          </cell>
          <cell r="W100">
            <v>1592.81</v>
          </cell>
          <cell r="X100">
            <v>1592.81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</row>
        <row r="101">
          <cell r="A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</row>
        <row r="102">
          <cell r="A102" t="str">
            <v>OB32</v>
          </cell>
          <cell r="B102" t="str">
            <v>VVZ Čira Čara</v>
          </cell>
          <cell r="C102" t="str">
            <v>Staneta Žagarja 6, 4000 Kranj</v>
          </cell>
          <cell r="D102">
            <v>382</v>
          </cell>
          <cell r="E102">
            <v>1947</v>
          </cell>
          <cell r="F102" t="str">
            <v>raba v kWh</v>
          </cell>
          <cell r="G102">
            <v>0</v>
          </cell>
          <cell r="H102">
            <v>0</v>
          </cell>
          <cell r="I102">
            <v>0</v>
          </cell>
          <cell r="J102">
            <v>22200</v>
          </cell>
          <cell r="K102">
            <v>22200</v>
          </cell>
          <cell r="L102">
            <v>58.1151832460733</v>
          </cell>
          <cell r="M102">
            <v>22200</v>
          </cell>
          <cell r="N102">
            <v>1375.66</v>
          </cell>
          <cell r="O102">
            <v>58.1151832460733</v>
          </cell>
          <cell r="P102">
            <v>61.966666666666669</v>
          </cell>
          <cell r="Q102">
            <v>0</v>
          </cell>
          <cell r="R102" t="str">
            <v>ELKO</v>
          </cell>
          <cell r="S102" t="str">
            <v>raba v kWh</v>
          </cell>
          <cell r="T102">
            <v>0</v>
          </cell>
          <cell r="U102">
            <v>0</v>
          </cell>
          <cell r="V102">
            <v>0</v>
          </cell>
          <cell r="W102">
            <v>70570.080000000002</v>
          </cell>
          <cell r="X102">
            <v>70570.080000000002</v>
          </cell>
          <cell r="Y102">
            <v>184.73842931937173</v>
          </cell>
          <cell r="Z102">
            <v>74481.836933526167</v>
          </cell>
          <cell r="AA102">
            <v>4560.9070539445611</v>
          </cell>
          <cell r="AB102">
            <v>194.97863071603709</v>
          </cell>
          <cell r="AC102">
            <v>61.235158015975038</v>
          </cell>
          <cell r="AD102">
            <v>446.89102160115704</v>
          </cell>
          <cell r="AE102">
            <v>5007.7980755457183</v>
          </cell>
        </row>
        <row r="103">
          <cell r="A103">
            <v>0</v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 t="str">
            <v>stroški v €</v>
          </cell>
          <cell r="G103">
            <v>0</v>
          </cell>
          <cell r="H103">
            <v>0</v>
          </cell>
          <cell r="I103">
            <v>0</v>
          </cell>
          <cell r="J103">
            <v>1375.66</v>
          </cell>
          <cell r="K103">
            <v>1375.66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 t="str">
            <v>stroški v €</v>
          </cell>
          <cell r="T103">
            <v>0</v>
          </cell>
          <cell r="U103">
            <v>0</v>
          </cell>
          <cell r="V103">
            <v>0</v>
          </cell>
          <cell r="W103">
            <v>4321.37</v>
          </cell>
          <cell r="X103">
            <v>4321.37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</row>
        <row r="104">
          <cell r="A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</row>
        <row r="105">
          <cell r="A105" t="str">
            <v>OB33</v>
          </cell>
          <cell r="B105" t="str">
            <v>VVZ Biba</v>
          </cell>
          <cell r="C105" t="str">
            <v>Zg. Bitnje 266, Zg. Bitnje, 4209 Žabnica</v>
          </cell>
          <cell r="D105">
            <v>175</v>
          </cell>
          <cell r="E105">
            <v>1973</v>
          </cell>
          <cell r="F105" t="str">
            <v>raba v kWh</v>
          </cell>
          <cell r="G105">
            <v>0</v>
          </cell>
          <cell r="H105">
            <v>0</v>
          </cell>
          <cell r="I105">
            <v>0</v>
          </cell>
          <cell r="J105">
            <v>4288</v>
          </cell>
          <cell r="K105">
            <v>4288</v>
          </cell>
          <cell r="L105">
            <v>24.502857142857142</v>
          </cell>
          <cell r="M105">
            <v>4288</v>
          </cell>
          <cell r="N105">
            <v>518.35</v>
          </cell>
          <cell r="O105">
            <v>24.502857142857142</v>
          </cell>
          <cell r="P105">
            <v>120.88386194029852</v>
          </cell>
          <cell r="Q105">
            <v>0</v>
          </cell>
          <cell r="R105" t="str">
            <v>ELKO</v>
          </cell>
          <cell r="S105" t="str">
            <v>raba v kWh</v>
          </cell>
          <cell r="T105">
            <v>0</v>
          </cell>
          <cell r="U105">
            <v>0</v>
          </cell>
          <cell r="V105">
            <v>0</v>
          </cell>
          <cell r="W105">
            <v>25200</v>
          </cell>
          <cell r="X105">
            <v>25200</v>
          </cell>
          <cell r="Y105">
            <v>144</v>
          </cell>
          <cell r="Z105">
            <v>26596.856496759807</v>
          </cell>
          <cell r="AA105">
            <v>1628.6669510255938</v>
          </cell>
          <cell r="AB105">
            <v>151.98203712434176</v>
          </cell>
          <cell r="AC105">
            <v>61.235317460317461</v>
          </cell>
          <cell r="AD105">
            <v>159.58113898055885</v>
          </cell>
          <cell r="AE105">
            <v>159.58113898055885</v>
          </cell>
        </row>
        <row r="106">
          <cell r="A106">
            <v>0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 t="str">
            <v>stroški v €</v>
          </cell>
          <cell r="G106">
            <v>0</v>
          </cell>
          <cell r="H106">
            <v>0</v>
          </cell>
          <cell r="I106">
            <v>0</v>
          </cell>
          <cell r="J106">
            <v>518.35</v>
          </cell>
          <cell r="K106">
            <v>518.35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 t="str">
            <v>stroški v €</v>
          </cell>
          <cell r="T106">
            <v>0</v>
          </cell>
          <cell r="U106">
            <v>0</v>
          </cell>
          <cell r="V106">
            <v>0</v>
          </cell>
          <cell r="W106">
            <v>1543.13</v>
          </cell>
          <cell r="X106">
            <v>1543.13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</row>
        <row r="107">
          <cell r="A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</row>
        <row r="108">
          <cell r="A108" t="str">
            <v>OB34</v>
          </cell>
          <cell r="B108" t="str">
            <v>VVZ Kekec</v>
          </cell>
          <cell r="C108" t="str">
            <v>Cesta Kokrškega odreda 9, 4000 Kranj</v>
          </cell>
          <cell r="D108">
            <v>282</v>
          </cell>
          <cell r="E108">
            <v>1959</v>
          </cell>
          <cell r="F108" t="str">
            <v>raba v kWh</v>
          </cell>
          <cell r="G108">
            <v>0</v>
          </cell>
          <cell r="H108">
            <v>0</v>
          </cell>
          <cell r="I108">
            <v>0</v>
          </cell>
          <cell r="J108">
            <v>10032</v>
          </cell>
          <cell r="K108">
            <v>10032</v>
          </cell>
          <cell r="L108">
            <v>35.574468085106382</v>
          </cell>
          <cell r="M108">
            <v>10032</v>
          </cell>
          <cell r="N108">
            <v>770.33</v>
          </cell>
          <cell r="O108">
            <v>35.574468085106382</v>
          </cell>
          <cell r="P108">
            <v>76.787280701754383</v>
          </cell>
          <cell r="Q108">
            <v>0</v>
          </cell>
          <cell r="R108" t="str">
            <v>ELKO</v>
          </cell>
          <cell r="S108" t="str">
            <v>raba v kWh</v>
          </cell>
          <cell r="T108">
            <v>0</v>
          </cell>
          <cell r="U108">
            <v>0</v>
          </cell>
          <cell r="V108">
            <v>0</v>
          </cell>
          <cell r="W108">
            <v>47648.160000000003</v>
          </cell>
          <cell r="X108">
            <v>47648.160000000003</v>
          </cell>
          <cell r="Y108">
            <v>168.96510638297875</v>
          </cell>
          <cell r="Z108">
            <v>50289.336264073449</v>
          </cell>
          <cell r="AA108">
            <v>2802.4010042589907</v>
          </cell>
          <cell r="AB108">
            <v>178.33097965983492</v>
          </cell>
          <cell r="AC108">
            <v>55.725551626757458</v>
          </cell>
          <cell r="AD108">
            <v>301.73601758444073</v>
          </cell>
          <cell r="AE108">
            <v>3104.1370218434313</v>
          </cell>
        </row>
        <row r="109">
          <cell r="A109">
            <v>0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 t="str">
            <v>stroški v €</v>
          </cell>
          <cell r="G109">
            <v>0</v>
          </cell>
          <cell r="H109">
            <v>0</v>
          </cell>
          <cell r="I109">
            <v>0</v>
          </cell>
          <cell r="J109">
            <v>770.33</v>
          </cell>
          <cell r="K109">
            <v>770.33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 t="str">
            <v>stroški v €</v>
          </cell>
          <cell r="T109">
            <v>0</v>
          </cell>
          <cell r="U109">
            <v>0</v>
          </cell>
          <cell r="V109">
            <v>0</v>
          </cell>
          <cell r="W109">
            <v>2655.22</v>
          </cell>
          <cell r="X109">
            <v>2655.22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</row>
        <row r="110">
          <cell r="A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</row>
        <row r="111">
          <cell r="A111" t="str">
            <v>OB35</v>
          </cell>
          <cell r="B111" t="str">
            <v>Splošna ambulanta Stražišče</v>
          </cell>
          <cell r="C111" t="str">
            <v>Baragov trg 2, 4000 Kranj</v>
          </cell>
          <cell r="D111">
            <v>721</v>
          </cell>
          <cell r="E111">
            <v>1980</v>
          </cell>
          <cell r="F111" t="str">
            <v>raba v kWh</v>
          </cell>
          <cell r="G111">
            <v>26769</v>
          </cell>
          <cell r="H111">
            <v>27159</v>
          </cell>
          <cell r="I111">
            <v>21099</v>
          </cell>
          <cell r="J111">
            <v>18743</v>
          </cell>
          <cell r="K111">
            <v>23442.5</v>
          </cell>
          <cell r="L111">
            <v>32.513869625520108</v>
          </cell>
          <cell r="M111">
            <v>23442.5</v>
          </cell>
          <cell r="N111">
            <v>1678.2200000000003</v>
          </cell>
          <cell r="O111">
            <v>32.513869625520108</v>
          </cell>
          <cell r="P111">
            <v>71.588781060040532</v>
          </cell>
          <cell r="Q111">
            <v>0</v>
          </cell>
          <cell r="R111" t="str">
            <v>ZP</v>
          </cell>
          <cell r="S111" t="str">
            <v>raba v kWh</v>
          </cell>
          <cell r="T111">
            <v>95570.559999999998</v>
          </cell>
          <cell r="U111">
            <v>66004.479999999996</v>
          </cell>
          <cell r="V111">
            <v>64645.119999999995</v>
          </cell>
          <cell r="W111">
            <v>123956.64</v>
          </cell>
          <cell r="X111">
            <v>75406.719999999987</v>
          </cell>
          <cell r="Y111">
            <v>104.58629680998611</v>
          </cell>
          <cell r="Z111">
            <v>79586.575822672516</v>
          </cell>
          <cell r="AA111">
            <v>3741.7344281524925</v>
          </cell>
          <cell r="AB111">
            <v>110.38360030883844</v>
          </cell>
          <cell r="AC111">
            <v>47.014642726802073</v>
          </cell>
          <cell r="AD111">
            <v>477.51945493603512</v>
          </cell>
          <cell r="AE111">
            <v>4219.2538830885278</v>
          </cell>
        </row>
        <row r="112">
          <cell r="A112">
            <v>0</v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 t="str">
            <v>stroški v €</v>
          </cell>
          <cell r="G112">
            <v>0</v>
          </cell>
          <cell r="H112">
            <v>0</v>
          </cell>
          <cell r="I112">
            <v>1686.1799999999998</v>
          </cell>
          <cell r="J112">
            <v>1670.2600000000002</v>
          </cell>
          <cell r="K112">
            <v>1678.22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 t="str">
            <v>stroški v €</v>
          </cell>
          <cell r="T112">
            <v>0</v>
          </cell>
          <cell r="U112">
            <v>0</v>
          </cell>
          <cell r="V112">
            <v>3545.22</v>
          </cell>
          <cell r="W112">
            <v>6038.4800000000005</v>
          </cell>
          <cell r="X112">
            <v>3545.22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</row>
        <row r="113">
          <cell r="A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</row>
        <row r="114">
          <cell r="A114" t="str">
            <v>OB36</v>
          </cell>
          <cell r="B114" t="str">
            <v>OŠ Stražišče</v>
          </cell>
          <cell r="C114" t="str">
            <v>Šolska ulica 2, 4000 Kranj</v>
          </cell>
          <cell r="D114">
            <v>4541</v>
          </cell>
          <cell r="E114">
            <v>1959</v>
          </cell>
          <cell r="F114" t="str">
            <v>raba v kWh</v>
          </cell>
          <cell r="G114">
            <v>126918.76799999998</v>
          </cell>
          <cell r="H114">
            <v>62058.360000000008</v>
          </cell>
          <cell r="I114">
            <v>66620.288</v>
          </cell>
          <cell r="J114">
            <v>105042.92</v>
          </cell>
          <cell r="K114">
            <v>90160.084000000003</v>
          </cell>
          <cell r="L114">
            <v>19.854676062541291</v>
          </cell>
          <cell r="M114">
            <v>90160.084000000003</v>
          </cell>
          <cell r="N114">
            <v>6536.6060900000002</v>
          </cell>
          <cell r="O114">
            <v>19.854676062541291</v>
          </cell>
          <cell r="P114">
            <v>72.5</v>
          </cell>
          <cell r="Q114">
            <v>0</v>
          </cell>
          <cell r="R114" t="str">
            <v>ZP</v>
          </cell>
          <cell r="S114" t="str">
            <v>raba v kWh</v>
          </cell>
          <cell r="T114">
            <v>856375.24</v>
          </cell>
          <cell r="U114">
            <v>717143.39999999991</v>
          </cell>
          <cell r="V114">
            <v>714715.16</v>
          </cell>
          <cell r="W114">
            <v>775057.88</v>
          </cell>
          <cell r="X114">
            <v>765822.91999999993</v>
          </cell>
          <cell r="Y114">
            <v>168.64631578947368</v>
          </cell>
          <cell r="Z114">
            <v>808273.10734799854</v>
          </cell>
          <cell r="AA114">
            <v>42611.887667718751</v>
          </cell>
          <cell r="AB114">
            <v>177.99451824443923</v>
          </cell>
          <cell r="AC114">
            <v>52.719665271966534</v>
          </cell>
          <cell r="AD114">
            <v>4849.6386440879905</v>
          </cell>
          <cell r="AE114">
            <v>47461.526311806738</v>
          </cell>
        </row>
        <row r="115">
          <cell r="A115">
            <v>0</v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 t="str">
            <v>stroški v €</v>
          </cell>
          <cell r="G115">
            <v>9201.6106800000016</v>
          </cell>
          <cell r="H115">
            <v>4499.2310999999991</v>
          </cell>
          <cell r="I115">
            <v>4829.9708799999999</v>
          </cell>
          <cell r="J115">
            <v>7615.6116999999995</v>
          </cell>
          <cell r="K115">
            <v>6536.6060899999993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 t="str">
            <v>stroški v €</v>
          </cell>
          <cell r="T115">
            <v>45147.815999999999</v>
          </cell>
          <cell r="U115">
            <v>37807.56</v>
          </cell>
          <cell r="V115">
            <v>37679.543999999994</v>
          </cell>
          <cell r="W115">
            <v>40860.792000000001</v>
          </cell>
          <cell r="X115">
            <v>40373.928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</row>
        <row r="116">
          <cell r="A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</row>
        <row r="117">
          <cell r="A117" t="str">
            <v>OB37</v>
          </cell>
          <cell r="B117" t="str">
            <v>OŠ Stražišče - PŠ Besnica</v>
          </cell>
          <cell r="C117" t="str">
            <v>V Čepuljah 19, 4201 Zg. Besnica</v>
          </cell>
          <cell r="D117">
            <v>164</v>
          </cell>
          <cell r="E117">
            <v>1992</v>
          </cell>
          <cell r="F117" t="str">
            <v>raba v kWh</v>
          </cell>
          <cell r="G117">
            <v>49445</v>
          </cell>
          <cell r="H117">
            <v>50086</v>
          </cell>
          <cell r="I117">
            <v>52044</v>
          </cell>
          <cell r="J117">
            <v>54583</v>
          </cell>
          <cell r="K117">
            <v>51539.5</v>
          </cell>
          <cell r="L117">
            <v>314.26524390243901</v>
          </cell>
          <cell r="M117">
            <v>51539.5</v>
          </cell>
          <cell r="N117">
            <v>6221</v>
          </cell>
          <cell r="O117">
            <v>314.26524390243901</v>
          </cell>
          <cell r="P117">
            <v>120.70353806303903</v>
          </cell>
          <cell r="Q117">
            <v>0</v>
          </cell>
          <cell r="R117" t="str">
            <v xml:space="preserve">BIOMASA [1] </v>
          </cell>
          <cell r="S117" t="str">
            <v>raba v kWh</v>
          </cell>
          <cell r="T117">
            <v>64551</v>
          </cell>
          <cell r="U117">
            <v>54280</v>
          </cell>
          <cell r="V117">
            <v>67010</v>
          </cell>
          <cell r="W117">
            <v>62150</v>
          </cell>
          <cell r="X117">
            <v>61997.75</v>
          </cell>
          <cell r="Y117">
            <v>378.03506097560978</v>
          </cell>
          <cell r="Z117">
            <v>65434.335709205967</v>
          </cell>
          <cell r="AA117">
            <v>13093.410812884047</v>
          </cell>
          <cell r="AB117">
            <v>398.98985188540223</v>
          </cell>
          <cell r="AC117">
            <v>200.10000362916398</v>
          </cell>
          <cell r="AD117">
            <v>392.60601425523578</v>
          </cell>
          <cell r="AE117">
            <v>13486.016827139283</v>
          </cell>
        </row>
        <row r="118">
          <cell r="A118">
            <v>0</v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 t="str">
            <v>stroški v €</v>
          </cell>
          <cell r="G118">
            <v>6096</v>
          </cell>
          <cell r="H118">
            <v>6094</v>
          </cell>
          <cell r="I118">
            <v>6329</v>
          </cell>
          <cell r="J118">
            <v>6365</v>
          </cell>
          <cell r="K118">
            <v>6221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 t="str">
            <v>stroški v €</v>
          </cell>
          <cell r="T118">
            <v>12529</v>
          </cell>
          <cell r="U118">
            <v>12033</v>
          </cell>
          <cell r="V118">
            <v>12624</v>
          </cell>
          <cell r="W118">
            <v>12437</v>
          </cell>
          <cell r="X118">
            <v>12405.75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</row>
        <row r="119">
          <cell r="A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</row>
        <row r="120">
          <cell r="A120" t="str">
            <v>OB38</v>
          </cell>
          <cell r="B120" t="str">
            <v>OŠ Stražišče - PŠ Žabnica</v>
          </cell>
          <cell r="C120" t="str">
            <v>Žabnica 20, 4209 Žabnica</v>
          </cell>
          <cell r="D120">
            <v>1104</v>
          </cell>
          <cell r="E120">
            <v>1908</v>
          </cell>
          <cell r="F120" t="str">
            <v>raba v kWh</v>
          </cell>
          <cell r="G120">
            <v>46470</v>
          </cell>
          <cell r="H120">
            <v>44400</v>
          </cell>
          <cell r="I120">
            <v>53070</v>
          </cell>
          <cell r="J120">
            <v>49150</v>
          </cell>
          <cell r="K120">
            <v>48272.5</v>
          </cell>
          <cell r="L120">
            <v>43.725090579710148</v>
          </cell>
          <cell r="M120">
            <v>48272.5</v>
          </cell>
          <cell r="N120">
            <v>5558.25</v>
          </cell>
          <cell r="O120">
            <v>43.725090579710148</v>
          </cell>
          <cell r="P120">
            <v>115.14319747268114</v>
          </cell>
          <cell r="Q120">
            <v>0</v>
          </cell>
          <cell r="R120" t="str">
            <v>UNP</v>
          </cell>
          <cell r="S120" t="str">
            <v>raba v kWh</v>
          </cell>
          <cell r="T120">
            <v>41308</v>
          </cell>
          <cell r="U120">
            <v>41167</v>
          </cell>
          <cell r="V120">
            <v>43898</v>
          </cell>
          <cell r="W120">
            <v>34423</v>
          </cell>
          <cell r="X120">
            <v>40199</v>
          </cell>
          <cell r="Y120">
            <v>36.412137681159422</v>
          </cell>
          <cell r="Z120">
            <v>42427.26326639871</v>
          </cell>
          <cell r="AA120">
            <v>3011.935683636043</v>
          </cell>
          <cell r="AB120">
            <v>38.430492089129267</v>
          </cell>
          <cell r="AC120">
            <v>70.990571904773745</v>
          </cell>
          <cell r="AD120">
            <v>254.56357959839224</v>
          </cell>
          <cell r="AE120">
            <v>254.56357959839224</v>
          </cell>
        </row>
        <row r="121">
          <cell r="A121">
            <v>0</v>
          </cell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 t="str">
            <v>stroški v €</v>
          </cell>
          <cell r="G121">
            <v>5349</v>
          </cell>
          <cell r="H121">
            <v>4964</v>
          </cell>
          <cell r="I121">
            <v>6076</v>
          </cell>
          <cell r="J121">
            <v>5844</v>
          </cell>
          <cell r="K121">
            <v>5558.25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 t="str">
            <v>stroški v €</v>
          </cell>
          <cell r="T121">
            <v>3382</v>
          </cell>
          <cell r="U121">
            <v>3185</v>
          </cell>
          <cell r="V121">
            <v>2904</v>
          </cell>
          <cell r="W121">
            <v>1944</v>
          </cell>
          <cell r="X121">
            <v>2853.75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NP"/>
      <sheetName val="HPpe"/>
      <sheetName val="HPje"/>
      <sheetName val="HPzd"/>
      <sheetName val="NPN"/>
      <sheetName val="OGR"/>
      <sheetName val="REK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lekRacEUR"/>
      <sheetName val="ElekRackWh"/>
      <sheetName val="VzdrRac"/>
      <sheetName val="TipSvetilke"/>
      <sheetName val="Popis"/>
      <sheetName val="Kalkulacija"/>
      <sheetName val="Vzdrževanje"/>
      <sheetName val="Zbirna tabela"/>
      <sheetName val="Amort. načrt"/>
      <sheetName val="Finančni tokovi"/>
      <sheetName val="V1"/>
      <sheetName val="V2"/>
      <sheetName val="Ekonomika Petrol 1"/>
      <sheetName val="Ekonomika Petrol 2"/>
      <sheetName val="Zbirna_tabela"/>
      <sheetName val="Amort__načrt"/>
      <sheetName val="Finančni_tokovi"/>
      <sheetName val="Ekonomika_Petrol_1"/>
      <sheetName val="Ekonomika_Petrol_2"/>
    </sheetNames>
    <sheetDataSet>
      <sheetData sheetId="0"/>
      <sheetData sheetId="1"/>
      <sheetData sheetId="2"/>
      <sheetData sheetId="3"/>
      <sheetData sheetId="4">
        <row r="5">
          <cell r="Y5">
            <v>0</v>
          </cell>
        </row>
        <row r="6">
          <cell r="Y6">
            <v>0</v>
          </cell>
        </row>
        <row r="7">
          <cell r="Y7">
            <v>3</v>
          </cell>
        </row>
        <row r="8">
          <cell r="Y8">
            <v>0</v>
          </cell>
        </row>
        <row r="9">
          <cell r="Y9">
            <v>2</v>
          </cell>
        </row>
        <row r="10">
          <cell r="Y10">
            <v>0</v>
          </cell>
        </row>
        <row r="11">
          <cell r="Y11">
            <v>0</v>
          </cell>
        </row>
        <row r="12">
          <cell r="Y12">
            <v>0</v>
          </cell>
        </row>
        <row r="13">
          <cell r="Y13">
            <v>0</v>
          </cell>
        </row>
        <row r="14">
          <cell r="Y14">
            <v>0</v>
          </cell>
        </row>
        <row r="15">
          <cell r="Y15">
            <v>0</v>
          </cell>
        </row>
        <row r="16">
          <cell r="Y16">
            <v>0</v>
          </cell>
        </row>
        <row r="17">
          <cell r="Y17">
            <v>0</v>
          </cell>
        </row>
        <row r="18">
          <cell r="Y18">
            <v>3</v>
          </cell>
        </row>
        <row r="19">
          <cell r="Y19">
            <v>0</v>
          </cell>
        </row>
        <row r="20">
          <cell r="Y20">
            <v>3</v>
          </cell>
        </row>
        <row r="21">
          <cell r="Y21">
            <v>18</v>
          </cell>
        </row>
        <row r="22">
          <cell r="Y22">
            <v>0</v>
          </cell>
        </row>
        <row r="23">
          <cell r="Y23">
            <v>0</v>
          </cell>
        </row>
        <row r="24">
          <cell r="Y24">
            <v>0</v>
          </cell>
        </row>
        <row r="25">
          <cell r="Y25">
            <v>0</v>
          </cell>
        </row>
        <row r="26">
          <cell r="Y26">
            <v>0</v>
          </cell>
        </row>
        <row r="27">
          <cell r="Y27">
            <v>0</v>
          </cell>
        </row>
        <row r="28">
          <cell r="Y28">
            <v>3</v>
          </cell>
        </row>
        <row r="29">
          <cell r="Y29">
            <v>18</v>
          </cell>
        </row>
        <row r="30">
          <cell r="Y30">
            <v>18</v>
          </cell>
        </row>
        <row r="31">
          <cell r="Y31">
            <v>0</v>
          </cell>
        </row>
        <row r="32">
          <cell r="Y32">
            <v>0</v>
          </cell>
        </row>
        <row r="33">
          <cell r="Y33">
            <v>18</v>
          </cell>
        </row>
        <row r="34">
          <cell r="Y34">
            <v>3</v>
          </cell>
        </row>
        <row r="35">
          <cell r="Y35">
            <v>3</v>
          </cell>
        </row>
        <row r="36">
          <cell r="Y36">
            <v>3</v>
          </cell>
        </row>
        <row r="37">
          <cell r="Y37">
            <v>3</v>
          </cell>
        </row>
        <row r="38">
          <cell r="Y38">
            <v>3</v>
          </cell>
        </row>
        <row r="39">
          <cell r="Y39">
            <v>3</v>
          </cell>
        </row>
        <row r="40">
          <cell r="Y40">
            <v>3</v>
          </cell>
        </row>
        <row r="41">
          <cell r="Y41">
            <v>2</v>
          </cell>
        </row>
        <row r="42">
          <cell r="Y42">
            <v>2</v>
          </cell>
        </row>
        <row r="43">
          <cell r="Y43">
            <v>2</v>
          </cell>
        </row>
        <row r="44">
          <cell r="Y44">
            <v>2</v>
          </cell>
        </row>
        <row r="45">
          <cell r="Y45">
            <v>2</v>
          </cell>
        </row>
        <row r="46">
          <cell r="Y46">
            <v>3</v>
          </cell>
        </row>
        <row r="47">
          <cell r="Y47">
            <v>2</v>
          </cell>
        </row>
        <row r="48">
          <cell r="Y48">
            <v>2</v>
          </cell>
        </row>
        <row r="49">
          <cell r="Y49">
            <v>2</v>
          </cell>
        </row>
        <row r="50">
          <cell r="Y50">
            <v>3</v>
          </cell>
        </row>
        <row r="51">
          <cell r="Y51">
            <v>18</v>
          </cell>
        </row>
        <row r="52">
          <cell r="Y52">
            <v>3</v>
          </cell>
        </row>
        <row r="53">
          <cell r="Y53">
            <v>3</v>
          </cell>
        </row>
        <row r="54">
          <cell r="Y54">
            <v>18</v>
          </cell>
        </row>
        <row r="55">
          <cell r="Y55">
            <v>18</v>
          </cell>
        </row>
        <row r="56">
          <cell r="Y56">
            <v>3</v>
          </cell>
        </row>
        <row r="57">
          <cell r="Y57">
            <v>3</v>
          </cell>
        </row>
        <row r="58">
          <cell r="Y58">
            <v>18</v>
          </cell>
        </row>
        <row r="59">
          <cell r="Y59">
            <v>3</v>
          </cell>
        </row>
        <row r="60">
          <cell r="Y60">
            <v>3</v>
          </cell>
        </row>
        <row r="61">
          <cell r="Y61">
            <v>0</v>
          </cell>
        </row>
        <row r="62">
          <cell r="Y62">
            <v>0</v>
          </cell>
        </row>
        <row r="63">
          <cell r="Y63">
            <v>0</v>
          </cell>
        </row>
        <row r="64">
          <cell r="Y64">
            <v>0</v>
          </cell>
        </row>
        <row r="65">
          <cell r="Y65">
            <v>0</v>
          </cell>
        </row>
        <row r="66">
          <cell r="Y66">
            <v>3</v>
          </cell>
        </row>
        <row r="67">
          <cell r="Y67">
            <v>3</v>
          </cell>
        </row>
        <row r="68">
          <cell r="Y68">
            <v>3</v>
          </cell>
        </row>
        <row r="69">
          <cell r="Y69">
            <v>3</v>
          </cell>
        </row>
        <row r="70">
          <cell r="Y70">
            <v>3</v>
          </cell>
        </row>
        <row r="71">
          <cell r="Y71">
            <v>3</v>
          </cell>
        </row>
        <row r="72">
          <cell r="Y72">
            <v>3</v>
          </cell>
        </row>
        <row r="73">
          <cell r="Y73">
            <v>3</v>
          </cell>
        </row>
        <row r="74">
          <cell r="Y74">
            <v>3</v>
          </cell>
        </row>
        <row r="75">
          <cell r="Y75">
            <v>2</v>
          </cell>
        </row>
        <row r="76">
          <cell r="Y76">
            <v>3</v>
          </cell>
        </row>
        <row r="77">
          <cell r="Y77">
            <v>3</v>
          </cell>
        </row>
        <row r="78">
          <cell r="Y78">
            <v>3</v>
          </cell>
        </row>
        <row r="79">
          <cell r="Y79">
            <v>3</v>
          </cell>
        </row>
        <row r="80">
          <cell r="Y80">
            <v>3</v>
          </cell>
        </row>
        <row r="81">
          <cell r="Y81">
            <v>3</v>
          </cell>
        </row>
        <row r="82">
          <cell r="Y82">
            <v>3</v>
          </cell>
        </row>
        <row r="83">
          <cell r="Y83">
            <v>3</v>
          </cell>
        </row>
        <row r="84">
          <cell r="Y84">
            <v>3</v>
          </cell>
        </row>
        <row r="85">
          <cell r="Y85">
            <v>3</v>
          </cell>
        </row>
        <row r="86">
          <cell r="Y86">
            <v>3</v>
          </cell>
        </row>
        <row r="87">
          <cell r="Y87">
            <v>3</v>
          </cell>
        </row>
        <row r="88">
          <cell r="Y88">
            <v>3</v>
          </cell>
        </row>
        <row r="89">
          <cell r="Y89">
            <v>0</v>
          </cell>
        </row>
        <row r="90">
          <cell r="Y90">
            <v>0</v>
          </cell>
        </row>
        <row r="91">
          <cell r="Y91">
            <v>0</v>
          </cell>
        </row>
        <row r="92">
          <cell r="Y92">
            <v>2</v>
          </cell>
        </row>
        <row r="93">
          <cell r="Y93">
            <v>2</v>
          </cell>
        </row>
        <row r="94">
          <cell r="Y94">
            <v>18</v>
          </cell>
        </row>
        <row r="95">
          <cell r="Y95">
            <v>18</v>
          </cell>
        </row>
        <row r="96">
          <cell r="Y96">
            <v>18</v>
          </cell>
        </row>
        <row r="97">
          <cell r="Y97">
            <v>3</v>
          </cell>
        </row>
        <row r="98">
          <cell r="Y98">
            <v>18</v>
          </cell>
        </row>
        <row r="99">
          <cell r="Y99">
            <v>3</v>
          </cell>
        </row>
        <row r="100">
          <cell r="Y100">
            <v>3</v>
          </cell>
        </row>
        <row r="101">
          <cell r="Y101">
            <v>3</v>
          </cell>
        </row>
        <row r="102">
          <cell r="Y102">
            <v>0</v>
          </cell>
        </row>
        <row r="103">
          <cell r="Y103">
            <v>0</v>
          </cell>
        </row>
        <row r="104">
          <cell r="Y104">
            <v>18</v>
          </cell>
        </row>
        <row r="105">
          <cell r="Y105">
            <v>18</v>
          </cell>
        </row>
        <row r="106">
          <cell r="Y106">
            <v>18</v>
          </cell>
        </row>
        <row r="107">
          <cell r="Y107">
            <v>3</v>
          </cell>
        </row>
        <row r="108">
          <cell r="Y108">
            <v>18</v>
          </cell>
        </row>
        <row r="109">
          <cell r="Y109">
            <v>18</v>
          </cell>
        </row>
        <row r="110">
          <cell r="Y110">
            <v>3</v>
          </cell>
        </row>
        <row r="111">
          <cell r="Y111">
            <v>18</v>
          </cell>
        </row>
        <row r="112">
          <cell r="Y112">
            <v>18</v>
          </cell>
        </row>
        <row r="113">
          <cell r="Y113">
            <v>18</v>
          </cell>
        </row>
        <row r="114">
          <cell r="Y114">
            <v>2</v>
          </cell>
        </row>
        <row r="115">
          <cell r="Y115">
            <v>0</v>
          </cell>
        </row>
        <row r="116">
          <cell r="Y116">
            <v>0</v>
          </cell>
        </row>
        <row r="117">
          <cell r="Y117">
            <v>0</v>
          </cell>
        </row>
        <row r="118">
          <cell r="Y118">
            <v>0</v>
          </cell>
        </row>
        <row r="119">
          <cell r="Y119">
            <v>0</v>
          </cell>
        </row>
        <row r="120">
          <cell r="Y120">
            <v>3</v>
          </cell>
        </row>
        <row r="121">
          <cell r="Y121">
            <v>2</v>
          </cell>
        </row>
        <row r="122">
          <cell r="Y122">
            <v>0</v>
          </cell>
        </row>
        <row r="123">
          <cell r="Y123">
            <v>0</v>
          </cell>
        </row>
        <row r="124">
          <cell r="Y124">
            <v>6</v>
          </cell>
        </row>
        <row r="125">
          <cell r="Y125">
            <v>6</v>
          </cell>
        </row>
        <row r="126">
          <cell r="Y126">
            <v>6</v>
          </cell>
        </row>
        <row r="127">
          <cell r="Y127">
            <v>6</v>
          </cell>
        </row>
        <row r="128">
          <cell r="Y128">
            <v>7</v>
          </cell>
        </row>
        <row r="129">
          <cell r="Y129">
            <v>7</v>
          </cell>
        </row>
        <row r="130">
          <cell r="Y130">
            <v>7</v>
          </cell>
        </row>
        <row r="131">
          <cell r="Y131">
            <v>7</v>
          </cell>
        </row>
        <row r="132">
          <cell r="Y132">
            <v>7</v>
          </cell>
        </row>
        <row r="133">
          <cell r="Y133">
            <v>7</v>
          </cell>
        </row>
        <row r="134">
          <cell r="Y134">
            <v>18</v>
          </cell>
        </row>
        <row r="135">
          <cell r="Y135">
            <v>18</v>
          </cell>
        </row>
        <row r="136">
          <cell r="Y136">
            <v>2</v>
          </cell>
        </row>
        <row r="137">
          <cell r="Y137">
            <v>2</v>
          </cell>
        </row>
        <row r="138">
          <cell r="Y138">
            <v>0</v>
          </cell>
        </row>
        <row r="139">
          <cell r="Y139">
            <v>0</v>
          </cell>
        </row>
        <row r="140">
          <cell r="Y140">
            <v>0</v>
          </cell>
        </row>
        <row r="141">
          <cell r="Y141">
            <v>0</v>
          </cell>
        </row>
        <row r="142">
          <cell r="Y142">
            <v>0</v>
          </cell>
        </row>
        <row r="143">
          <cell r="Y143">
            <v>0</v>
          </cell>
        </row>
        <row r="144">
          <cell r="Y144">
            <v>0</v>
          </cell>
        </row>
        <row r="145">
          <cell r="Y145">
            <v>0</v>
          </cell>
        </row>
        <row r="146">
          <cell r="Y146">
            <v>0</v>
          </cell>
        </row>
        <row r="147">
          <cell r="Y147">
            <v>0</v>
          </cell>
        </row>
        <row r="148">
          <cell r="Y148">
            <v>0</v>
          </cell>
        </row>
        <row r="149">
          <cell r="Y149">
            <v>0</v>
          </cell>
        </row>
        <row r="150">
          <cell r="Y150">
            <v>0</v>
          </cell>
        </row>
        <row r="151">
          <cell r="Y151">
            <v>3</v>
          </cell>
        </row>
        <row r="152">
          <cell r="Y152">
            <v>2</v>
          </cell>
        </row>
        <row r="153">
          <cell r="Y153">
            <v>2</v>
          </cell>
        </row>
        <row r="154">
          <cell r="Y154">
            <v>2</v>
          </cell>
        </row>
        <row r="155">
          <cell r="Y155">
            <v>2</v>
          </cell>
        </row>
        <row r="156">
          <cell r="Y156">
            <v>2</v>
          </cell>
        </row>
        <row r="157">
          <cell r="Y157">
            <v>2</v>
          </cell>
        </row>
        <row r="158">
          <cell r="Y158">
            <v>2</v>
          </cell>
        </row>
        <row r="159">
          <cell r="Y159">
            <v>2</v>
          </cell>
        </row>
        <row r="160">
          <cell r="Y160">
            <v>18</v>
          </cell>
        </row>
        <row r="161">
          <cell r="Y161">
            <v>18</v>
          </cell>
        </row>
        <row r="162">
          <cell r="Y162">
            <v>18</v>
          </cell>
        </row>
        <row r="163">
          <cell r="Y163">
            <v>4</v>
          </cell>
        </row>
        <row r="164">
          <cell r="Y164">
            <v>18</v>
          </cell>
        </row>
        <row r="165">
          <cell r="Y165">
            <v>18</v>
          </cell>
        </row>
        <row r="166">
          <cell r="Y166">
            <v>3</v>
          </cell>
        </row>
        <row r="167">
          <cell r="Y167">
            <v>3</v>
          </cell>
        </row>
        <row r="168">
          <cell r="Y168">
            <v>3</v>
          </cell>
        </row>
        <row r="169">
          <cell r="Y169">
            <v>3</v>
          </cell>
        </row>
        <row r="170">
          <cell r="Y170">
            <v>3</v>
          </cell>
        </row>
        <row r="171">
          <cell r="Y171">
            <v>3</v>
          </cell>
        </row>
        <row r="172">
          <cell r="Y172">
            <v>0</v>
          </cell>
        </row>
        <row r="173">
          <cell r="Y173">
            <v>0</v>
          </cell>
        </row>
        <row r="174">
          <cell r="Y174">
            <v>3</v>
          </cell>
        </row>
        <row r="175">
          <cell r="Y175">
            <v>3</v>
          </cell>
        </row>
        <row r="176">
          <cell r="Y176">
            <v>18</v>
          </cell>
        </row>
        <row r="177">
          <cell r="Y177">
            <v>18</v>
          </cell>
        </row>
        <row r="178">
          <cell r="Y178">
            <v>0</v>
          </cell>
        </row>
        <row r="179">
          <cell r="Y179">
            <v>0</v>
          </cell>
        </row>
        <row r="180">
          <cell r="Y180">
            <v>18</v>
          </cell>
        </row>
        <row r="181">
          <cell r="Y181">
            <v>18</v>
          </cell>
        </row>
        <row r="182">
          <cell r="Y182">
            <v>18</v>
          </cell>
        </row>
        <row r="183">
          <cell r="Y183">
            <v>3</v>
          </cell>
        </row>
        <row r="184">
          <cell r="Y184">
            <v>4</v>
          </cell>
        </row>
        <row r="185">
          <cell r="Y185">
            <v>2</v>
          </cell>
        </row>
        <row r="186">
          <cell r="Y186">
            <v>4</v>
          </cell>
        </row>
        <row r="187">
          <cell r="Y187">
            <v>2</v>
          </cell>
        </row>
        <row r="188">
          <cell r="Y188">
            <v>0</v>
          </cell>
        </row>
        <row r="189">
          <cell r="Y189">
            <v>18</v>
          </cell>
        </row>
        <row r="190">
          <cell r="Y190">
            <v>0</v>
          </cell>
        </row>
        <row r="191">
          <cell r="Y191">
            <v>2</v>
          </cell>
        </row>
        <row r="192">
          <cell r="Y192">
            <v>3</v>
          </cell>
        </row>
        <row r="193">
          <cell r="Y193">
            <v>3</v>
          </cell>
        </row>
        <row r="194">
          <cell r="Y194">
            <v>3</v>
          </cell>
        </row>
        <row r="195">
          <cell r="Y195">
            <v>2</v>
          </cell>
        </row>
        <row r="196">
          <cell r="Y196">
            <v>3</v>
          </cell>
        </row>
        <row r="197">
          <cell r="Y197">
            <v>3</v>
          </cell>
        </row>
        <row r="198">
          <cell r="Y198">
            <v>3</v>
          </cell>
        </row>
        <row r="199">
          <cell r="Y199">
            <v>0</v>
          </cell>
        </row>
        <row r="200">
          <cell r="Y200">
            <v>2</v>
          </cell>
        </row>
        <row r="201">
          <cell r="Y201">
            <v>2</v>
          </cell>
        </row>
        <row r="202">
          <cell r="Y202">
            <v>4</v>
          </cell>
        </row>
        <row r="203">
          <cell r="Y203">
            <v>4</v>
          </cell>
        </row>
        <row r="204">
          <cell r="Y204">
            <v>3</v>
          </cell>
        </row>
        <row r="205">
          <cell r="Y205">
            <v>3</v>
          </cell>
        </row>
        <row r="206">
          <cell r="Y206">
            <v>18</v>
          </cell>
        </row>
        <row r="207">
          <cell r="Y207">
            <v>2</v>
          </cell>
        </row>
        <row r="208">
          <cell r="Y208">
            <v>3</v>
          </cell>
        </row>
        <row r="209">
          <cell r="Y209">
            <v>3</v>
          </cell>
        </row>
        <row r="210">
          <cell r="Y210">
            <v>3</v>
          </cell>
        </row>
        <row r="211">
          <cell r="Y211">
            <v>0</v>
          </cell>
        </row>
        <row r="212">
          <cell r="Y212">
            <v>0</v>
          </cell>
        </row>
        <row r="213">
          <cell r="Y213">
            <v>0</v>
          </cell>
        </row>
        <row r="214">
          <cell r="Y214">
            <v>0</v>
          </cell>
        </row>
        <row r="215">
          <cell r="Y215">
            <v>18</v>
          </cell>
        </row>
        <row r="216">
          <cell r="Y216">
            <v>2</v>
          </cell>
        </row>
        <row r="217">
          <cell r="Y217">
            <v>3</v>
          </cell>
        </row>
        <row r="218">
          <cell r="Y218">
            <v>3</v>
          </cell>
        </row>
        <row r="219">
          <cell r="Y219">
            <v>3</v>
          </cell>
        </row>
        <row r="220">
          <cell r="Y220">
            <v>2</v>
          </cell>
        </row>
        <row r="221">
          <cell r="Y221">
            <v>0</v>
          </cell>
        </row>
        <row r="222">
          <cell r="Y222">
            <v>4</v>
          </cell>
        </row>
        <row r="223">
          <cell r="Y223">
            <v>18</v>
          </cell>
        </row>
        <row r="224">
          <cell r="Y224">
            <v>4</v>
          </cell>
        </row>
        <row r="225">
          <cell r="Y225">
            <v>18</v>
          </cell>
        </row>
        <row r="226">
          <cell r="Y226">
            <v>4</v>
          </cell>
        </row>
        <row r="227">
          <cell r="Y227">
            <v>18</v>
          </cell>
        </row>
        <row r="228">
          <cell r="Y228">
            <v>3</v>
          </cell>
        </row>
        <row r="229">
          <cell r="Y229">
            <v>18</v>
          </cell>
        </row>
        <row r="230">
          <cell r="Y230">
            <v>2</v>
          </cell>
        </row>
        <row r="231">
          <cell r="Y231">
            <v>3</v>
          </cell>
        </row>
        <row r="232">
          <cell r="Y232">
            <v>3</v>
          </cell>
        </row>
        <row r="233">
          <cell r="Y233">
            <v>2</v>
          </cell>
        </row>
        <row r="234">
          <cell r="Y234">
            <v>0</v>
          </cell>
        </row>
        <row r="235">
          <cell r="Y235">
            <v>0</v>
          </cell>
        </row>
        <row r="236">
          <cell r="Y236">
            <v>18</v>
          </cell>
        </row>
        <row r="237">
          <cell r="Y237">
            <v>0</v>
          </cell>
        </row>
        <row r="238">
          <cell r="Y238">
            <v>18</v>
          </cell>
        </row>
        <row r="239">
          <cell r="Y239">
            <v>3</v>
          </cell>
        </row>
        <row r="240">
          <cell r="Y240">
            <v>4</v>
          </cell>
        </row>
        <row r="241">
          <cell r="Y241">
            <v>3</v>
          </cell>
        </row>
        <row r="242">
          <cell r="Y242">
            <v>18</v>
          </cell>
        </row>
        <row r="243">
          <cell r="Y243">
            <v>3</v>
          </cell>
        </row>
        <row r="244">
          <cell r="Y244">
            <v>3</v>
          </cell>
        </row>
        <row r="245">
          <cell r="Y245">
            <v>3</v>
          </cell>
        </row>
        <row r="246">
          <cell r="Y246">
            <v>3</v>
          </cell>
        </row>
        <row r="247">
          <cell r="Y247">
            <v>0</v>
          </cell>
        </row>
        <row r="248">
          <cell r="Y248">
            <v>0</v>
          </cell>
        </row>
        <row r="249">
          <cell r="Y249">
            <v>18</v>
          </cell>
        </row>
        <row r="250">
          <cell r="Y250">
            <v>4</v>
          </cell>
        </row>
        <row r="251">
          <cell r="Y251">
            <v>4</v>
          </cell>
        </row>
        <row r="252">
          <cell r="Y252">
            <v>3</v>
          </cell>
        </row>
        <row r="253">
          <cell r="Y253">
            <v>3</v>
          </cell>
        </row>
        <row r="254">
          <cell r="Y254">
            <v>0</v>
          </cell>
        </row>
        <row r="255">
          <cell r="Y255">
            <v>0</v>
          </cell>
        </row>
        <row r="256">
          <cell r="Y256">
            <v>0</v>
          </cell>
        </row>
        <row r="257">
          <cell r="Y257">
            <v>0</v>
          </cell>
        </row>
        <row r="258">
          <cell r="Y258">
            <v>0</v>
          </cell>
        </row>
        <row r="259">
          <cell r="Y259">
            <v>0</v>
          </cell>
        </row>
        <row r="260">
          <cell r="Y260">
            <v>0</v>
          </cell>
        </row>
        <row r="261">
          <cell r="Y261">
            <v>0</v>
          </cell>
        </row>
        <row r="262">
          <cell r="Y262">
            <v>4</v>
          </cell>
        </row>
        <row r="263">
          <cell r="Y263">
            <v>2</v>
          </cell>
        </row>
        <row r="264">
          <cell r="Y264">
            <v>2</v>
          </cell>
        </row>
        <row r="265">
          <cell r="Y265">
            <v>2</v>
          </cell>
        </row>
        <row r="266">
          <cell r="Y266">
            <v>2</v>
          </cell>
        </row>
        <row r="267">
          <cell r="Y267">
            <v>2</v>
          </cell>
        </row>
        <row r="268">
          <cell r="Y268">
            <v>3</v>
          </cell>
        </row>
        <row r="269">
          <cell r="Y269">
            <v>18</v>
          </cell>
        </row>
        <row r="270">
          <cell r="Y270">
            <v>18</v>
          </cell>
        </row>
        <row r="271">
          <cell r="Y271">
            <v>18</v>
          </cell>
        </row>
        <row r="272">
          <cell r="Y272">
            <v>3</v>
          </cell>
        </row>
        <row r="273">
          <cell r="Y273">
            <v>4</v>
          </cell>
        </row>
        <row r="274">
          <cell r="Y274">
            <v>18</v>
          </cell>
        </row>
        <row r="275">
          <cell r="Y275">
            <v>3</v>
          </cell>
        </row>
        <row r="276">
          <cell r="Y276">
            <v>0</v>
          </cell>
        </row>
        <row r="277">
          <cell r="Y277">
            <v>0</v>
          </cell>
        </row>
        <row r="278">
          <cell r="Y278">
            <v>0</v>
          </cell>
        </row>
        <row r="279">
          <cell r="Y279">
            <v>0</v>
          </cell>
        </row>
        <row r="280">
          <cell r="Y280">
            <v>0</v>
          </cell>
        </row>
        <row r="281">
          <cell r="Y281">
            <v>0</v>
          </cell>
        </row>
        <row r="282">
          <cell r="Y282">
            <v>18</v>
          </cell>
        </row>
        <row r="283">
          <cell r="Y283">
            <v>3</v>
          </cell>
        </row>
        <row r="284">
          <cell r="Y284">
            <v>3</v>
          </cell>
        </row>
        <row r="285">
          <cell r="Y285">
            <v>3</v>
          </cell>
        </row>
        <row r="286">
          <cell r="Y286">
            <v>3</v>
          </cell>
        </row>
        <row r="287">
          <cell r="Y287">
            <v>3</v>
          </cell>
        </row>
        <row r="288">
          <cell r="Y288">
            <v>3</v>
          </cell>
        </row>
        <row r="289">
          <cell r="Y289">
            <v>3</v>
          </cell>
        </row>
        <row r="290">
          <cell r="Y290">
            <v>0</v>
          </cell>
        </row>
        <row r="291">
          <cell r="Y291">
            <v>3</v>
          </cell>
        </row>
        <row r="292">
          <cell r="Y292">
            <v>3</v>
          </cell>
        </row>
        <row r="293">
          <cell r="Y293">
            <v>3</v>
          </cell>
        </row>
        <row r="294">
          <cell r="Y294">
            <v>3</v>
          </cell>
        </row>
        <row r="295">
          <cell r="Y295">
            <v>18</v>
          </cell>
        </row>
        <row r="296">
          <cell r="Y296">
            <v>18</v>
          </cell>
        </row>
        <row r="297">
          <cell r="Y297">
            <v>3</v>
          </cell>
        </row>
        <row r="298">
          <cell r="Y298">
            <v>18</v>
          </cell>
        </row>
        <row r="299">
          <cell r="Y299">
            <v>0</v>
          </cell>
        </row>
        <row r="300">
          <cell r="Y300">
            <v>3</v>
          </cell>
        </row>
        <row r="301">
          <cell r="Y301">
            <v>3</v>
          </cell>
        </row>
        <row r="302">
          <cell r="Y302">
            <v>3</v>
          </cell>
        </row>
        <row r="303">
          <cell r="Y303">
            <v>3</v>
          </cell>
        </row>
        <row r="304">
          <cell r="Y304">
            <v>3</v>
          </cell>
        </row>
        <row r="305">
          <cell r="Y305">
            <v>3</v>
          </cell>
        </row>
        <row r="306">
          <cell r="Y306">
            <v>7</v>
          </cell>
        </row>
        <row r="307">
          <cell r="Y307">
            <v>7</v>
          </cell>
        </row>
        <row r="308">
          <cell r="Y308">
            <v>7</v>
          </cell>
        </row>
        <row r="309">
          <cell r="Y309">
            <v>3</v>
          </cell>
        </row>
        <row r="310">
          <cell r="Y310">
            <v>3</v>
          </cell>
        </row>
        <row r="311">
          <cell r="Y311">
            <v>2</v>
          </cell>
        </row>
        <row r="312">
          <cell r="Y312">
            <v>2</v>
          </cell>
        </row>
        <row r="313">
          <cell r="Y313">
            <v>2</v>
          </cell>
        </row>
        <row r="314">
          <cell r="Y314">
            <v>3</v>
          </cell>
        </row>
        <row r="315">
          <cell r="Y315">
            <v>3</v>
          </cell>
        </row>
        <row r="316">
          <cell r="Y316">
            <v>3</v>
          </cell>
        </row>
        <row r="317">
          <cell r="Y317">
            <v>3</v>
          </cell>
        </row>
        <row r="318">
          <cell r="Y318">
            <v>3</v>
          </cell>
        </row>
        <row r="319">
          <cell r="Y319">
            <v>3</v>
          </cell>
        </row>
        <row r="320">
          <cell r="Y320">
            <v>18</v>
          </cell>
        </row>
        <row r="321">
          <cell r="Y321">
            <v>18</v>
          </cell>
        </row>
        <row r="322">
          <cell r="Y322">
            <v>18</v>
          </cell>
        </row>
        <row r="323">
          <cell r="Y323">
            <v>18</v>
          </cell>
        </row>
        <row r="324">
          <cell r="Y324">
            <v>4</v>
          </cell>
        </row>
        <row r="325">
          <cell r="Y325">
            <v>0</v>
          </cell>
        </row>
        <row r="326">
          <cell r="Y326">
            <v>0</v>
          </cell>
        </row>
        <row r="327">
          <cell r="Y327">
            <v>0</v>
          </cell>
        </row>
        <row r="328">
          <cell r="Y328">
            <v>0</v>
          </cell>
        </row>
        <row r="329">
          <cell r="Y329">
            <v>0</v>
          </cell>
        </row>
        <row r="330">
          <cell r="Y330">
            <v>3</v>
          </cell>
        </row>
        <row r="331">
          <cell r="Y331">
            <v>18</v>
          </cell>
        </row>
        <row r="332">
          <cell r="Y332">
            <v>3</v>
          </cell>
        </row>
        <row r="333">
          <cell r="Y333">
            <v>3</v>
          </cell>
        </row>
        <row r="334">
          <cell r="Y334">
            <v>3</v>
          </cell>
        </row>
        <row r="335">
          <cell r="Y335">
            <v>3</v>
          </cell>
        </row>
        <row r="336">
          <cell r="Y336">
            <v>0</v>
          </cell>
        </row>
        <row r="337">
          <cell r="Y337">
            <v>3</v>
          </cell>
        </row>
        <row r="338">
          <cell r="Y338">
            <v>3</v>
          </cell>
        </row>
        <row r="339">
          <cell r="Y339">
            <v>2</v>
          </cell>
        </row>
        <row r="340">
          <cell r="Y340">
            <v>3</v>
          </cell>
        </row>
        <row r="341">
          <cell r="Y341">
            <v>3</v>
          </cell>
        </row>
        <row r="342">
          <cell r="Y342">
            <v>3</v>
          </cell>
        </row>
        <row r="343">
          <cell r="Y343">
            <v>3</v>
          </cell>
        </row>
        <row r="344">
          <cell r="Y344">
            <v>3</v>
          </cell>
        </row>
        <row r="345">
          <cell r="Y345">
            <v>0</v>
          </cell>
        </row>
        <row r="346">
          <cell r="Y346">
            <v>0</v>
          </cell>
        </row>
        <row r="347">
          <cell r="Y347">
            <v>0</v>
          </cell>
        </row>
        <row r="348">
          <cell r="Y348">
            <v>0</v>
          </cell>
        </row>
        <row r="349">
          <cell r="Y349">
            <v>3</v>
          </cell>
        </row>
        <row r="350">
          <cell r="Y350">
            <v>3</v>
          </cell>
        </row>
        <row r="351">
          <cell r="Y351">
            <v>3</v>
          </cell>
        </row>
        <row r="352">
          <cell r="Y352">
            <v>3</v>
          </cell>
        </row>
        <row r="353">
          <cell r="Y353">
            <v>18</v>
          </cell>
        </row>
        <row r="354">
          <cell r="Y354">
            <v>18</v>
          </cell>
        </row>
        <row r="355">
          <cell r="Y355">
            <v>3</v>
          </cell>
        </row>
        <row r="356">
          <cell r="Y356">
            <v>3</v>
          </cell>
        </row>
        <row r="357">
          <cell r="Y357">
            <v>18</v>
          </cell>
        </row>
        <row r="358">
          <cell r="Y358">
            <v>3</v>
          </cell>
        </row>
        <row r="359">
          <cell r="Y359">
            <v>18</v>
          </cell>
        </row>
        <row r="360">
          <cell r="Y360">
            <v>18</v>
          </cell>
        </row>
        <row r="361">
          <cell r="Y361">
            <v>3</v>
          </cell>
        </row>
        <row r="362">
          <cell r="Y362">
            <v>3</v>
          </cell>
        </row>
        <row r="363">
          <cell r="Y363">
            <v>3</v>
          </cell>
        </row>
        <row r="364">
          <cell r="Y364">
            <v>3</v>
          </cell>
        </row>
        <row r="365">
          <cell r="Y365">
            <v>3</v>
          </cell>
        </row>
        <row r="366">
          <cell r="Y366">
            <v>3</v>
          </cell>
        </row>
        <row r="367">
          <cell r="Y367">
            <v>18</v>
          </cell>
        </row>
        <row r="368">
          <cell r="Y368">
            <v>4</v>
          </cell>
        </row>
        <row r="369">
          <cell r="Y369">
            <v>18</v>
          </cell>
        </row>
        <row r="370">
          <cell r="Y370">
            <v>0</v>
          </cell>
        </row>
        <row r="371">
          <cell r="Y371">
            <v>0</v>
          </cell>
        </row>
        <row r="372">
          <cell r="Y372">
            <v>0</v>
          </cell>
        </row>
        <row r="373">
          <cell r="Y373">
            <v>3</v>
          </cell>
        </row>
        <row r="374">
          <cell r="Y374">
            <v>0</v>
          </cell>
        </row>
        <row r="375">
          <cell r="Y375">
            <v>2</v>
          </cell>
        </row>
        <row r="376">
          <cell r="Y376">
            <v>3</v>
          </cell>
        </row>
        <row r="377">
          <cell r="Y377">
            <v>18</v>
          </cell>
        </row>
        <row r="378">
          <cell r="Y378">
            <v>0</v>
          </cell>
        </row>
        <row r="379">
          <cell r="Y379">
            <v>0</v>
          </cell>
        </row>
        <row r="380">
          <cell r="Y380">
            <v>3</v>
          </cell>
        </row>
        <row r="381">
          <cell r="Y381">
            <v>2</v>
          </cell>
        </row>
        <row r="382">
          <cell r="Y382">
            <v>18</v>
          </cell>
        </row>
        <row r="383">
          <cell r="Y383">
            <v>2</v>
          </cell>
        </row>
        <row r="384">
          <cell r="Y384">
            <v>2</v>
          </cell>
        </row>
        <row r="385">
          <cell r="Y385">
            <v>2</v>
          </cell>
        </row>
        <row r="386">
          <cell r="Y386">
            <v>3</v>
          </cell>
        </row>
        <row r="387">
          <cell r="Y387">
            <v>3</v>
          </cell>
        </row>
        <row r="388">
          <cell r="Y388">
            <v>18</v>
          </cell>
        </row>
        <row r="389">
          <cell r="Y389">
            <v>3</v>
          </cell>
        </row>
        <row r="390">
          <cell r="Y390">
            <v>3</v>
          </cell>
        </row>
        <row r="391">
          <cell r="Y391">
            <v>3</v>
          </cell>
        </row>
        <row r="392">
          <cell r="Y392">
            <v>0</v>
          </cell>
        </row>
        <row r="393">
          <cell r="Y393">
            <v>4</v>
          </cell>
        </row>
        <row r="394">
          <cell r="Y394">
            <v>18</v>
          </cell>
        </row>
        <row r="395">
          <cell r="Y395">
            <v>3</v>
          </cell>
        </row>
        <row r="396">
          <cell r="Y396">
            <v>0</v>
          </cell>
        </row>
        <row r="397">
          <cell r="Y397">
            <v>3</v>
          </cell>
        </row>
        <row r="398">
          <cell r="Y398">
            <v>4</v>
          </cell>
        </row>
        <row r="399">
          <cell r="Y399">
            <v>3</v>
          </cell>
        </row>
        <row r="400">
          <cell r="Y400">
            <v>18</v>
          </cell>
        </row>
        <row r="401">
          <cell r="Y401">
            <v>18</v>
          </cell>
        </row>
        <row r="402">
          <cell r="Y402">
            <v>4</v>
          </cell>
        </row>
        <row r="403">
          <cell r="Y403">
            <v>3</v>
          </cell>
        </row>
        <row r="404">
          <cell r="Y404">
            <v>18</v>
          </cell>
        </row>
        <row r="405">
          <cell r="Y405">
            <v>0</v>
          </cell>
        </row>
        <row r="406">
          <cell r="Y406">
            <v>0</v>
          </cell>
        </row>
        <row r="407">
          <cell r="Y407">
            <v>2</v>
          </cell>
        </row>
        <row r="408">
          <cell r="Y408">
            <v>0</v>
          </cell>
        </row>
        <row r="409">
          <cell r="Y409">
            <v>2</v>
          </cell>
        </row>
        <row r="410">
          <cell r="Y410">
            <v>2</v>
          </cell>
        </row>
        <row r="411">
          <cell r="Y411">
            <v>0</v>
          </cell>
        </row>
        <row r="412">
          <cell r="Y412">
            <v>0</v>
          </cell>
        </row>
        <row r="413">
          <cell r="Y413">
            <v>0</v>
          </cell>
        </row>
        <row r="414">
          <cell r="Y414">
            <v>3</v>
          </cell>
        </row>
        <row r="415">
          <cell r="Y415">
            <v>18</v>
          </cell>
        </row>
        <row r="416">
          <cell r="Y416">
            <v>7</v>
          </cell>
        </row>
        <row r="417">
          <cell r="Y417">
            <v>3</v>
          </cell>
        </row>
        <row r="418">
          <cell r="Y418">
            <v>3</v>
          </cell>
        </row>
        <row r="419">
          <cell r="Y419">
            <v>3</v>
          </cell>
        </row>
        <row r="420">
          <cell r="Y420">
            <v>2</v>
          </cell>
        </row>
        <row r="421">
          <cell r="Y421">
            <v>3</v>
          </cell>
        </row>
        <row r="422">
          <cell r="Y422">
            <v>0</v>
          </cell>
        </row>
        <row r="423">
          <cell r="Y423">
            <v>3</v>
          </cell>
        </row>
        <row r="424">
          <cell r="Y424">
            <v>3</v>
          </cell>
        </row>
        <row r="425">
          <cell r="Y425">
            <v>18</v>
          </cell>
        </row>
        <row r="426">
          <cell r="Y426">
            <v>18</v>
          </cell>
        </row>
        <row r="427">
          <cell r="Y427">
            <v>2</v>
          </cell>
        </row>
        <row r="428">
          <cell r="Y428">
            <v>18</v>
          </cell>
        </row>
        <row r="429">
          <cell r="Y429">
            <v>18</v>
          </cell>
        </row>
        <row r="430">
          <cell r="Y430">
            <v>4</v>
          </cell>
        </row>
        <row r="431">
          <cell r="Y431">
            <v>18</v>
          </cell>
        </row>
        <row r="432">
          <cell r="Y432">
            <v>4</v>
          </cell>
        </row>
        <row r="433">
          <cell r="Y433">
            <v>4</v>
          </cell>
        </row>
        <row r="434">
          <cell r="Y434">
            <v>2</v>
          </cell>
        </row>
        <row r="435">
          <cell r="Y435">
            <v>2</v>
          </cell>
        </row>
        <row r="436">
          <cell r="Y436">
            <v>3</v>
          </cell>
        </row>
        <row r="437">
          <cell r="Y437">
            <v>3</v>
          </cell>
        </row>
        <row r="438">
          <cell r="Y438">
            <v>2</v>
          </cell>
        </row>
        <row r="439">
          <cell r="Y439">
            <v>3</v>
          </cell>
        </row>
        <row r="440">
          <cell r="Y440">
            <v>0</v>
          </cell>
        </row>
        <row r="441">
          <cell r="Y441">
            <v>0</v>
          </cell>
        </row>
        <row r="442">
          <cell r="Y442">
            <v>0</v>
          </cell>
        </row>
        <row r="443">
          <cell r="Y443">
            <v>0</v>
          </cell>
        </row>
        <row r="444">
          <cell r="Y444">
            <v>2</v>
          </cell>
        </row>
        <row r="445">
          <cell r="Y445">
            <v>4</v>
          </cell>
        </row>
        <row r="446">
          <cell r="Y446">
            <v>4</v>
          </cell>
        </row>
        <row r="447">
          <cell r="Y447">
            <v>6</v>
          </cell>
        </row>
        <row r="448">
          <cell r="Y448">
            <v>0</v>
          </cell>
        </row>
        <row r="449">
          <cell r="Y449">
            <v>4</v>
          </cell>
        </row>
        <row r="450">
          <cell r="Y450">
            <v>4</v>
          </cell>
        </row>
        <row r="451">
          <cell r="Y451">
            <v>18</v>
          </cell>
        </row>
        <row r="452">
          <cell r="Y452">
            <v>18</v>
          </cell>
        </row>
        <row r="453">
          <cell r="Y453">
            <v>18</v>
          </cell>
        </row>
        <row r="454">
          <cell r="Y454">
            <v>18</v>
          </cell>
        </row>
        <row r="455">
          <cell r="Y455">
            <v>2</v>
          </cell>
        </row>
        <row r="456">
          <cell r="Y456">
            <v>18</v>
          </cell>
        </row>
        <row r="457">
          <cell r="Y457">
            <v>18</v>
          </cell>
        </row>
        <row r="458">
          <cell r="Y458">
            <v>2</v>
          </cell>
        </row>
        <row r="459">
          <cell r="Y459">
            <v>18</v>
          </cell>
        </row>
        <row r="460">
          <cell r="Y460">
            <v>2</v>
          </cell>
        </row>
        <row r="461">
          <cell r="Y461">
            <v>7</v>
          </cell>
        </row>
        <row r="462">
          <cell r="Y462">
            <v>4</v>
          </cell>
        </row>
        <row r="463">
          <cell r="Y463">
            <v>4</v>
          </cell>
        </row>
        <row r="464">
          <cell r="Y464">
            <v>4</v>
          </cell>
        </row>
        <row r="465">
          <cell r="Y465">
            <v>4</v>
          </cell>
        </row>
        <row r="466">
          <cell r="Y466">
            <v>4</v>
          </cell>
        </row>
        <row r="467">
          <cell r="Y467">
            <v>4</v>
          </cell>
        </row>
        <row r="468">
          <cell r="Y468">
            <v>4</v>
          </cell>
        </row>
        <row r="469">
          <cell r="Y469">
            <v>3</v>
          </cell>
        </row>
        <row r="470">
          <cell r="Y470">
            <v>0</v>
          </cell>
        </row>
        <row r="471">
          <cell r="Y471">
            <v>0</v>
          </cell>
        </row>
        <row r="472">
          <cell r="Y472">
            <v>4</v>
          </cell>
        </row>
        <row r="473">
          <cell r="Y473">
            <v>4</v>
          </cell>
        </row>
        <row r="474">
          <cell r="Y474">
            <v>4</v>
          </cell>
        </row>
        <row r="475">
          <cell r="Y475">
            <v>4</v>
          </cell>
        </row>
        <row r="476">
          <cell r="Y476">
            <v>4</v>
          </cell>
        </row>
        <row r="477">
          <cell r="Y477">
            <v>4</v>
          </cell>
        </row>
        <row r="478">
          <cell r="Y478">
            <v>0</v>
          </cell>
        </row>
        <row r="479">
          <cell r="Y479">
            <v>0</v>
          </cell>
        </row>
        <row r="480">
          <cell r="Y480">
            <v>0</v>
          </cell>
        </row>
        <row r="481">
          <cell r="Y481">
            <v>0</v>
          </cell>
        </row>
        <row r="482">
          <cell r="Y482">
            <v>0</v>
          </cell>
        </row>
        <row r="483">
          <cell r="Y483">
            <v>0</v>
          </cell>
        </row>
        <row r="484">
          <cell r="Y484">
            <v>0</v>
          </cell>
        </row>
        <row r="485">
          <cell r="Y485">
            <v>0</v>
          </cell>
        </row>
        <row r="486">
          <cell r="Y486">
            <v>0</v>
          </cell>
        </row>
        <row r="487">
          <cell r="Y487">
            <v>0</v>
          </cell>
        </row>
        <row r="488">
          <cell r="Y488">
            <v>0</v>
          </cell>
        </row>
        <row r="489">
          <cell r="Y489">
            <v>0</v>
          </cell>
        </row>
        <row r="490">
          <cell r="Y490">
            <v>0</v>
          </cell>
        </row>
        <row r="491">
          <cell r="Y491">
            <v>0</v>
          </cell>
        </row>
        <row r="492">
          <cell r="Y492">
            <v>0</v>
          </cell>
        </row>
        <row r="493">
          <cell r="Y493">
            <v>0</v>
          </cell>
        </row>
        <row r="494">
          <cell r="Y494">
            <v>0</v>
          </cell>
        </row>
        <row r="495">
          <cell r="Y495">
            <v>0</v>
          </cell>
        </row>
        <row r="496">
          <cell r="Y496">
            <v>0</v>
          </cell>
        </row>
        <row r="497">
          <cell r="Y497">
            <v>0</v>
          </cell>
        </row>
        <row r="498">
          <cell r="Y498">
            <v>0</v>
          </cell>
        </row>
        <row r="499">
          <cell r="Y499">
            <v>0</v>
          </cell>
        </row>
        <row r="500">
          <cell r="Y500">
            <v>0</v>
          </cell>
        </row>
        <row r="501">
          <cell r="Y501">
            <v>4</v>
          </cell>
        </row>
        <row r="502">
          <cell r="Y502">
            <v>4</v>
          </cell>
        </row>
        <row r="503">
          <cell r="Y503">
            <v>4</v>
          </cell>
        </row>
        <row r="504">
          <cell r="Y504">
            <v>4</v>
          </cell>
        </row>
        <row r="505">
          <cell r="Y505">
            <v>4</v>
          </cell>
        </row>
        <row r="506">
          <cell r="Y506">
            <v>4</v>
          </cell>
        </row>
        <row r="507">
          <cell r="Y507">
            <v>4</v>
          </cell>
        </row>
        <row r="508">
          <cell r="Y508">
            <v>4</v>
          </cell>
        </row>
        <row r="509">
          <cell r="Y509">
            <v>0</v>
          </cell>
        </row>
        <row r="510">
          <cell r="Y510">
            <v>0</v>
          </cell>
        </row>
        <row r="511">
          <cell r="Y511">
            <v>0</v>
          </cell>
        </row>
        <row r="512">
          <cell r="Y512">
            <v>0</v>
          </cell>
        </row>
        <row r="513">
          <cell r="Y513">
            <v>0</v>
          </cell>
        </row>
        <row r="514">
          <cell r="Y514">
            <v>0</v>
          </cell>
        </row>
        <row r="515">
          <cell r="Y515">
            <v>0</v>
          </cell>
        </row>
        <row r="516">
          <cell r="Y516">
            <v>0</v>
          </cell>
        </row>
        <row r="517">
          <cell r="Y517">
            <v>0</v>
          </cell>
        </row>
        <row r="518">
          <cell r="Y518">
            <v>0</v>
          </cell>
        </row>
        <row r="519">
          <cell r="Y519">
            <v>3</v>
          </cell>
        </row>
        <row r="520">
          <cell r="Y520">
            <v>3</v>
          </cell>
        </row>
        <row r="521">
          <cell r="Y521">
            <v>3</v>
          </cell>
        </row>
        <row r="522">
          <cell r="Y522">
            <v>3</v>
          </cell>
        </row>
        <row r="523">
          <cell r="Y523">
            <v>0</v>
          </cell>
        </row>
        <row r="524">
          <cell r="Y524">
            <v>0</v>
          </cell>
        </row>
        <row r="525">
          <cell r="Y525">
            <v>0</v>
          </cell>
        </row>
        <row r="526">
          <cell r="Y526">
            <v>0</v>
          </cell>
        </row>
        <row r="527">
          <cell r="Y527">
            <v>0</v>
          </cell>
        </row>
        <row r="528">
          <cell r="Y528">
            <v>0</v>
          </cell>
        </row>
        <row r="529">
          <cell r="Y529">
            <v>0</v>
          </cell>
        </row>
        <row r="530">
          <cell r="Y530">
            <v>0</v>
          </cell>
        </row>
        <row r="531">
          <cell r="Y531">
            <v>0</v>
          </cell>
        </row>
        <row r="532">
          <cell r="Y532">
            <v>0</v>
          </cell>
        </row>
        <row r="533">
          <cell r="Y533">
            <v>0</v>
          </cell>
        </row>
        <row r="534">
          <cell r="Y534">
            <v>0</v>
          </cell>
        </row>
        <row r="535">
          <cell r="Y535">
            <v>0</v>
          </cell>
        </row>
        <row r="536">
          <cell r="Y536">
            <v>0</v>
          </cell>
        </row>
        <row r="537">
          <cell r="Y537">
            <v>0</v>
          </cell>
        </row>
        <row r="538">
          <cell r="Y538">
            <v>0</v>
          </cell>
        </row>
        <row r="539">
          <cell r="Y539">
            <v>0</v>
          </cell>
        </row>
        <row r="540">
          <cell r="Y540">
            <v>0</v>
          </cell>
        </row>
        <row r="541">
          <cell r="Y541">
            <v>0</v>
          </cell>
        </row>
        <row r="542">
          <cell r="Y542">
            <v>0</v>
          </cell>
        </row>
        <row r="543">
          <cell r="Y543">
            <v>0</v>
          </cell>
        </row>
        <row r="544">
          <cell r="Y544">
            <v>0</v>
          </cell>
        </row>
        <row r="545">
          <cell r="Y545">
            <v>0</v>
          </cell>
        </row>
        <row r="546">
          <cell r="Y546">
            <v>0</v>
          </cell>
        </row>
        <row r="547">
          <cell r="Y547">
            <v>0</v>
          </cell>
        </row>
        <row r="548">
          <cell r="Y548">
            <v>4</v>
          </cell>
        </row>
        <row r="549">
          <cell r="Y549">
            <v>4</v>
          </cell>
        </row>
        <row r="550">
          <cell r="Y550">
            <v>4</v>
          </cell>
        </row>
        <row r="551">
          <cell r="Y551">
            <v>4</v>
          </cell>
        </row>
        <row r="552">
          <cell r="Y552">
            <v>0</v>
          </cell>
        </row>
        <row r="553">
          <cell r="Y553">
            <v>0</v>
          </cell>
        </row>
        <row r="554">
          <cell r="Y554">
            <v>0</v>
          </cell>
        </row>
        <row r="555">
          <cell r="Y555">
            <v>0</v>
          </cell>
        </row>
        <row r="556">
          <cell r="Y556">
            <v>0</v>
          </cell>
        </row>
        <row r="557">
          <cell r="Y557">
            <v>0</v>
          </cell>
        </row>
        <row r="558">
          <cell r="Y558">
            <v>0</v>
          </cell>
        </row>
        <row r="559">
          <cell r="Y559">
            <v>0</v>
          </cell>
        </row>
        <row r="560">
          <cell r="Y560">
            <v>2</v>
          </cell>
        </row>
        <row r="561">
          <cell r="Y561">
            <v>4</v>
          </cell>
        </row>
        <row r="562">
          <cell r="Y562">
            <v>2</v>
          </cell>
        </row>
        <row r="563">
          <cell r="Y563">
            <v>4</v>
          </cell>
        </row>
        <row r="564">
          <cell r="Y564">
            <v>4</v>
          </cell>
        </row>
        <row r="565">
          <cell r="Y565">
            <v>4</v>
          </cell>
        </row>
        <row r="566">
          <cell r="Y566">
            <v>4</v>
          </cell>
        </row>
        <row r="567">
          <cell r="Y567">
            <v>4</v>
          </cell>
        </row>
        <row r="568">
          <cell r="Y568">
            <v>4</v>
          </cell>
        </row>
        <row r="569">
          <cell r="Y569">
            <v>0</v>
          </cell>
        </row>
        <row r="570">
          <cell r="Y570">
            <v>0</v>
          </cell>
        </row>
        <row r="571">
          <cell r="Y571">
            <v>2</v>
          </cell>
        </row>
        <row r="572">
          <cell r="Y572">
            <v>2</v>
          </cell>
        </row>
        <row r="573">
          <cell r="Y573">
            <v>2</v>
          </cell>
        </row>
        <row r="574">
          <cell r="Y574">
            <v>2</v>
          </cell>
        </row>
        <row r="575">
          <cell r="Y575">
            <v>2</v>
          </cell>
        </row>
        <row r="576">
          <cell r="Y576">
            <v>4</v>
          </cell>
        </row>
        <row r="577">
          <cell r="Y577">
            <v>2</v>
          </cell>
        </row>
        <row r="578">
          <cell r="Y578">
            <v>2</v>
          </cell>
        </row>
        <row r="579">
          <cell r="Y579">
            <v>0</v>
          </cell>
        </row>
        <row r="580">
          <cell r="Y580">
            <v>2</v>
          </cell>
        </row>
        <row r="581">
          <cell r="Y581">
            <v>7</v>
          </cell>
        </row>
        <row r="582">
          <cell r="Y582">
            <v>15</v>
          </cell>
        </row>
        <row r="583">
          <cell r="Y583">
            <v>15</v>
          </cell>
        </row>
        <row r="584">
          <cell r="Y584">
            <v>4</v>
          </cell>
        </row>
        <row r="585">
          <cell r="Y585">
            <v>4</v>
          </cell>
        </row>
        <row r="586">
          <cell r="Y586">
            <v>15</v>
          </cell>
        </row>
        <row r="587">
          <cell r="Y587">
            <v>15</v>
          </cell>
        </row>
        <row r="588">
          <cell r="Y588">
            <v>15</v>
          </cell>
        </row>
        <row r="589">
          <cell r="Y589">
            <v>15</v>
          </cell>
        </row>
        <row r="590">
          <cell r="Y590">
            <v>15</v>
          </cell>
        </row>
        <row r="591">
          <cell r="Y591">
            <v>15</v>
          </cell>
        </row>
        <row r="592">
          <cell r="Y592">
            <v>15</v>
          </cell>
        </row>
        <row r="593">
          <cell r="Y593">
            <v>15</v>
          </cell>
        </row>
        <row r="594">
          <cell r="Y594">
            <v>15</v>
          </cell>
        </row>
        <row r="595">
          <cell r="Y595">
            <v>15</v>
          </cell>
        </row>
        <row r="596">
          <cell r="Y596">
            <v>15</v>
          </cell>
        </row>
        <row r="597">
          <cell r="Y597">
            <v>15</v>
          </cell>
        </row>
        <row r="598">
          <cell r="Y598">
            <v>15</v>
          </cell>
        </row>
        <row r="599">
          <cell r="Y599">
            <v>15</v>
          </cell>
        </row>
        <row r="600">
          <cell r="Y600">
            <v>6</v>
          </cell>
        </row>
        <row r="601">
          <cell r="Y601">
            <v>6</v>
          </cell>
        </row>
        <row r="602">
          <cell r="Y602">
            <v>15</v>
          </cell>
        </row>
        <row r="603">
          <cell r="Y603">
            <v>15</v>
          </cell>
        </row>
        <row r="604">
          <cell r="Y604">
            <v>15</v>
          </cell>
        </row>
        <row r="605">
          <cell r="Y605">
            <v>15</v>
          </cell>
        </row>
        <row r="606">
          <cell r="Y606">
            <v>15</v>
          </cell>
        </row>
        <row r="607">
          <cell r="Y607">
            <v>4</v>
          </cell>
        </row>
        <row r="608">
          <cell r="Y608">
            <v>4</v>
          </cell>
        </row>
        <row r="609">
          <cell r="Y609">
            <v>4</v>
          </cell>
        </row>
        <row r="610">
          <cell r="Y610">
            <v>6</v>
          </cell>
        </row>
        <row r="611">
          <cell r="Y611">
            <v>6</v>
          </cell>
        </row>
        <row r="612">
          <cell r="Y612">
            <v>6</v>
          </cell>
        </row>
        <row r="613">
          <cell r="Y613">
            <v>4</v>
          </cell>
        </row>
        <row r="614">
          <cell r="Y614">
            <v>3</v>
          </cell>
        </row>
        <row r="615">
          <cell r="Y615">
            <v>7</v>
          </cell>
        </row>
        <row r="616">
          <cell r="Y616">
            <v>7</v>
          </cell>
        </row>
        <row r="617">
          <cell r="Y617">
            <v>7</v>
          </cell>
        </row>
        <row r="618">
          <cell r="Y618">
            <v>7</v>
          </cell>
        </row>
        <row r="619">
          <cell r="Y619">
            <v>7</v>
          </cell>
        </row>
        <row r="620">
          <cell r="Y620">
            <v>7</v>
          </cell>
        </row>
        <row r="621">
          <cell r="Y621">
            <v>7</v>
          </cell>
        </row>
        <row r="622">
          <cell r="Y622">
            <v>7</v>
          </cell>
        </row>
        <row r="623">
          <cell r="Y623">
            <v>7</v>
          </cell>
        </row>
        <row r="624">
          <cell r="Y624">
            <v>7</v>
          </cell>
        </row>
        <row r="625">
          <cell r="Y625">
            <v>7</v>
          </cell>
        </row>
        <row r="626">
          <cell r="Y626">
            <v>7</v>
          </cell>
        </row>
        <row r="627">
          <cell r="Y627">
            <v>7</v>
          </cell>
        </row>
        <row r="628">
          <cell r="Y628">
            <v>0</v>
          </cell>
        </row>
        <row r="629">
          <cell r="Y629">
            <v>0</v>
          </cell>
        </row>
        <row r="630">
          <cell r="Y630">
            <v>0</v>
          </cell>
        </row>
        <row r="631">
          <cell r="Y631">
            <v>0</v>
          </cell>
        </row>
        <row r="632">
          <cell r="Y632">
            <v>0</v>
          </cell>
        </row>
        <row r="633">
          <cell r="Y633">
            <v>0</v>
          </cell>
        </row>
        <row r="634">
          <cell r="Y634">
            <v>0</v>
          </cell>
        </row>
        <row r="635">
          <cell r="Y635">
            <v>0</v>
          </cell>
        </row>
        <row r="636">
          <cell r="Y636">
            <v>0</v>
          </cell>
        </row>
        <row r="637">
          <cell r="Y637">
            <v>0</v>
          </cell>
        </row>
        <row r="638">
          <cell r="Y638">
            <v>0</v>
          </cell>
        </row>
        <row r="639">
          <cell r="Y639">
            <v>0</v>
          </cell>
        </row>
        <row r="640">
          <cell r="Y640">
            <v>0</v>
          </cell>
        </row>
        <row r="641">
          <cell r="Y641">
            <v>0</v>
          </cell>
        </row>
        <row r="642">
          <cell r="Y642">
            <v>7</v>
          </cell>
        </row>
        <row r="643">
          <cell r="Y643">
            <v>7</v>
          </cell>
        </row>
        <row r="644">
          <cell r="Y644">
            <v>7</v>
          </cell>
        </row>
        <row r="645">
          <cell r="Y645">
            <v>7</v>
          </cell>
        </row>
        <row r="646">
          <cell r="Y646">
            <v>7</v>
          </cell>
        </row>
        <row r="647">
          <cell r="Y647">
            <v>7</v>
          </cell>
        </row>
        <row r="648">
          <cell r="Y648">
            <v>0</v>
          </cell>
        </row>
        <row r="649">
          <cell r="Y649">
            <v>7</v>
          </cell>
        </row>
        <row r="650">
          <cell r="Y650">
            <v>7</v>
          </cell>
        </row>
        <row r="651">
          <cell r="Y651">
            <v>7</v>
          </cell>
        </row>
        <row r="652">
          <cell r="Y652">
            <v>7</v>
          </cell>
        </row>
        <row r="653">
          <cell r="Y653">
            <v>7</v>
          </cell>
        </row>
        <row r="654">
          <cell r="Y654">
            <v>7</v>
          </cell>
        </row>
        <row r="655">
          <cell r="Y655">
            <v>4</v>
          </cell>
        </row>
        <row r="656">
          <cell r="Y656">
            <v>4</v>
          </cell>
        </row>
        <row r="657">
          <cell r="Y657">
            <v>4</v>
          </cell>
        </row>
        <row r="658">
          <cell r="Y658">
            <v>18</v>
          </cell>
        </row>
        <row r="659">
          <cell r="Y659">
            <v>7</v>
          </cell>
        </row>
        <row r="660">
          <cell r="Y660">
            <v>7</v>
          </cell>
        </row>
        <row r="661">
          <cell r="Y661">
            <v>7</v>
          </cell>
        </row>
        <row r="662">
          <cell r="Y662">
            <v>7</v>
          </cell>
        </row>
        <row r="663">
          <cell r="Y663">
            <v>2</v>
          </cell>
        </row>
        <row r="664">
          <cell r="Y664">
            <v>0</v>
          </cell>
        </row>
        <row r="665">
          <cell r="Y665">
            <v>0</v>
          </cell>
        </row>
        <row r="666">
          <cell r="Y666">
            <v>0</v>
          </cell>
        </row>
        <row r="667">
          <cell r="Y667">
            <v>18</v>
          </cell>
        </row>
        <row r="668">
          <cell r="Y668">
            <v>4</v>
          </cell>
        </row>
        <row r="669">
          <cell r="Y669">
            <v>18</v>
          </cell>
        </row>
        <row r="670">
          <cell r="Y670">
            <v>18</v>
          </cell>
        </row>
        <row r="671">
          <cell r="Y671">
            <v>0</v>
          </cell>
        </row>
        <row r="672">
          <cell r="Y672">
            <v>18</v>
          </cell>
        </row>
        <row r="673">
          <cell r="Y673">
            <v>3</v>
          </cell>
        </row>
        <row r="674">
          <cell r="Y674">
            <v>3</v>
          </cell>
        </row>
        <row r="675">
          <cell r="Y675">
            <v>18</v>
          </cell>
        </row>
        <row r="676">
          <cell r="Y676">
            <v>0</v>
          </cell>
        </row>
        <row r="677">
          <cell r="Y677">
            <v>2</v>
          </cell>
        </row>
        <row r="678">
          <cell r="Y678">
            <v>18</v>
          </cell>
        </row>
        <row r="679">
          <cell r="Y679">
            <v>0</v>
          </cell>
        </row>
        <row r="680">
          <cell r="Y680">
            <v>0</v>
          </cell>
        </row>
        <row r="681">
          <cell r="Y681">
            <v>18</v>
          </cell>
        </row>
        <row r="682">
          <cell r="Y682">
            <v>0</v>
          </cell>
        </row>
        <row r="683">
          <cell r="Y683">
            <v>0</v>
          </cell>
        </row>
        <row r="684">
          <cell r="Y684">
            <v>3</v>
          </cell>
        </row>
        <row r="685">
          <cell r="Y685">
            <v>3</v>
          </cell>
        </row>
        <row r="686">
          <cell r="Y686">
            <v>3</v>
          </cell>
        </row>
        <row r="687">
          <cell r="Y687">
            <v>4</v>
          </cell>
        </row>
        <row r="688">
          <cell r="Y688">
            <v>4</v>
          </cell>
        </row>
        <row r="689">
          <cell r="Y689">
            <v>4</v>
          </cell>
        </row>
        <row r="690">
          <cell r="Y690">
            <v>4</v>
          </cell>
        </row>
        <row r="691">
          <cell r="Y691">
            <v>4</v>
          </cell>
        </row>
        <row r="692">
          <cell r="Y692">
            <v>4</v>
          </cell>
        </row>
        <row r="693">
          <cell r="Y693">
            <v>4</v>
          </cell>
        </row>
        <row r="694">
          <cell r="Y694">
            <v>4</v>
          </cell>
        </row>
        <row r="695">
          <cell r="Y695">
            <v>4</v>
          </cell>
        </row>
        <row r="696">
          <cell r="Y696">
            <v>4</v>
          </cell>
        </row>
        <row r="697">
          <cell r="Y697">
            <v>4</v>
          </cell>
        </row>
        <row r="698">
          <cell r="Y698">
            <v>3</v>
          </cell>
        </row>
        <row r="699">
          <cell r="Y699">
            <v>4</v>
          </cell>
        </row>
        <row r="700">
          <cell r="Y700">
            <v>4</v>
          </cell>
        </row>
        <row r="701">
          <cell r="Y701">
            <v>4</v>
          </cell>
        </row>
        <row r="702">
          <cell r="Y702">
            <v>4</v>
          </cell>
        </row>
        <row r="703">
          <cell r="Y703">
            <v>4</v>
          </cell>
        </row>
        <row r="704">
          <cell r="Y704">
            <v>4</v>
          </cell>
        </row>
        <row r="705">
          <cell r="Y705">
            <v>4</v>
          </cell>
        </row>
        <row r="706">
          <cell r="Y706">
            <v>4</v>
          </cell>
        </row>
        <row r="707">
          <cell r="Y707">
            <v>4</v>
          </cell>
        </row>
        <row r="708">
          <cell r="Y708">
            <v>4</v>
          </cell>
        </row>
        <row r="709">
          <cell r="Y709">
            <v>4</v>
          </cell>
        </row>
        <row r="710">
          <cell r="Y710">
            <v>0</v>
          </cell>
        </row>
        <row r="711">
          <cell r="Y711">
            <v>4</v>
          </cell>
        </row>
        <row r="712">
          <cell r="Y712">
            <v>4</v>
          </cell>
        </row>
        <row r="713">
          <cell r="Y713">
            <v>4</v>
          </cell>
        </row>
        <row r="714">
          <cell r="Y714">
            <v>4</v>
          </cell>
        </row>
        <row r="715">
          <cell r="Y715">
            <v>4</v>
          </cell>
        </row>
        <row r="716">
          <cell r="Y716">
            <v>4</v>
          </cell>
        </row>
        <row r="717">
          <cell r="Y717">
            <v>4</v>
          </cell>
        </row>
        <row r="718">
          <cell r="Y718">
            <v>4</v>
          </cell>
        </row>
        <row r="719">
          <cell r="Y719">
            <v>4</v>
          </cell>
        </row>
        <row r="720">
          <cell r="Y720">
            <v>4</v>
          </cell>
        </row>
        <row r="721">
          <cell r="Y721">
            <v>4</v>
          </cell>
        </row>
        <row r="722">
          <cell r="Y722">
            <v>4</v>
          </cell>
        </row>
        <row r="723">
          <cell r="Y723">
            <v>4</v>
          </cell>
        </row>
        <row r="724">
          <cell r="Y724">
            <v>4</v>
          </cell>
        </row>
        <row r="725">
          <cell r="Y725">
            <v>4</v>
          </cell>
        </row>
        <row r="726">
          <cell r="Y726">
            <v>4</v>
          </cell>
        </row>
        <row r="727">
          <cell r="Y727">
            <v>4</v>
          </cell>
        </row>
        <row r="728">
          <cell r="Y728">
            <v>4</v>
          </cell>
        </row>
        <row r="729">
          <cell r="Y729">
            <v>4</v>
          </cell>
        </row>
        <row r="730">
          <cell r="Y730">
            <v>4</v>
          </cell>
        </row>
        <row r="731">
          <cell r="Y731">
            <v>4</v>
          </cell>
        </row>
        <row r="732">
          <cell r="Y732">
            <v>4</v>
          </cell>
        </row>
        <row r="733">
          <cell r="Y733">
            <v>4</v>
          </cell>
        </row>
        <row r="734">
          <cell r="Y734">
            <v>4</v>
          </cell>
        </row>
        <row r="735">
          <cell r="Y735">
            <v>4</v>
          </cell>
        </row>
        <row r="736">
          <cell r="Y736">
            <v>4</v>
          </cell>
        </row>
        <row r="737">
          <cell r="Y737">
            <v>4</v>
          </cell>
        </row>
        <row r="738">
          <cell r="Y738">
            <v>0</v>
          </cell>
        </row>
        <row r="739">
          <cell r="Y739">
            <v>0</v>
          </cell>
        </row>
        <row r="740">
          <cell r="Y740">
            <v>0</v>
          </cell>
        </row>
        <row r="741">
          <cell r="Y741">
            <v>0</v>
          </cell>
        </row>
        <row r="742">
          <cell r="Y742">
            <v>4</v>
          </cell>
        </row>
        <row r="743">
          <cell r="Y743">
            <v>4</v>
          </cell>
        </row>
        <row r="744">
          <cell r="Y744">
            <v>4</v>
          </cell>
        </row>
        <row r="745">
          <cell r="Y745">
            <v>4</v>
          </cell>
        </row>
        <row r="746">
          <cell r="Y746">
            <v>4</v>
          </cell>
        </row>
        <row r="747">
          <cell r="Y747">
            <v>4</v>
          </cell>
        </row>
        <row r="748">
          <cell r="Y748">
            <v>7</v>
          </cell>
        </row>
        <row r="749">
          <cell r="Y749">
            <v>7</v>
          </cell>
        </row>
        <row r="750">
          <cell r="Y750">
            <v>7</v>
          </cell>
        </row>
        <row r="751">
          <cell r="Y751">
            <v>7</v>
          </cell>
        </row>
        <row r="752">
          <cell r="Y752">
            <v>7</v>
          </cell>
        </row>
        <row r="753">
          <cell r="Y753">
            <v>7</v>
          </cell>
        </row>
        <row r="754">
          <cell r="Y754">
            <v>7</v>
          </cell>
        </row>
        <row r="755">
          <cell r="Y755">
            <v>7</v>
          </cell>
        </row>
        <row r="756">
          <cell r="Y756">
            <v>7</v>
          </cell>
        </row>
        <row r="757">
          <cell r="Y757">
            <v>7</v>
          </cell>
        </row>
        <row r="758">
          <cell r="Y758">
            <v>7</v>
          </cell>
        </row>
        <row r="759">
          <cell r="Y759">
            <v>7</v>
          </cell>
        </row>
        <row r="760">
          <cell r="Y760">
            <v>7</v>
          </cell>
        </row>
      </sheetData>
      <sheetData sheetId="5"/>
      <sheetData sheetId="6"/>
      <sheetData sheetId="7">
        <row r="10">
          <cell r="C10">
            <v>570062.3200000003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mperature"/>
      <sheetName val="Prezračevanje+moč"/>
      <sheetName val="Pripomočki"/>
    </sheetNames>
    <sheetDataSet>
      <sheetData sheetId="0"/>
      <sheetData sheetId="1" refreshError="1"/>
      <sheetData sheetId="2">
        <row r="3">
          <cell r="B3" t="str">
            <v>LJUBLJANA - BEŽIGRAD</v>
          </cell>
          <cell r="F3">
            <v>2015</v>
          </cell>
        </row>
        <row r="4">
          <cell r="B4" t="str">
            <v>BILJE</v>
          </cell>
          <cell r="F4">
            <v>2016</v>
          </cell>
        </row>
        <row r="5">
          <cell r="B5" t="str">
            <v>trenutno povprečje vsega supaj</v>
          </cell>
          <cell r="F5">
            <v>2017</v>
          </cell>
        </row>
        <row r="6">
          <cell r="F6">
            <v>2018</v>
          </cell>
        </row>
        <row r="7">
          <cell r="F7">
            <v>2019</v>
          </cell>
        </row>
        <row r="8">
          <cell r="F8" t="str">
            <v>AVG 2016-18</v>
          </cell>
        </row>
        <row r="9">
          <cell r="F9" t="str">
            <v>MIN 2016-18</v>
          </cell>
        </row>
        <row r="10">
          <cell r="F10" t="str">
            <v>MAX 2016-18</v>
          </cell>
        </row>
        <row r="11">
          <cell r="F11" t="str">
            <v>Tvoj mix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Rates"/>
      <sheetName val="Kurs walut"/>
      <sheetName val="Karta PKL"/>
      <sheetName val="Zestawienie"/>
      <sheetName val="Oznaczenia"/>
      <sheetName val="Baza klientów"/>
      <sheetName val="UT"/>
      <sheetName val="transfer sales"/>
      <sheetName val="transfer lines"/>
      <sheetName val="Ceny PKL"/>
      <sheetName val="PKL1F zbiorczy"/>
      <sheetName val="PKL2F zbiorczy"/>
      <sheetName val="Moduły"/>
      <sheetName val="Moduł niestandardowy"/>
      <sheetName val="Ceny PKL_MOD"/>
      <sheetName val="Urządzenia"/>
      <sheetName val="kody PKL"/>
      <sheetName val="Kurs_walut"/>
      <sheetName val="Karta_PKL"/>
      <sheetName val="Baza_klientów"/>
      <sheetName val="transfer_sales"/>
      <sheetName val="transfer_lines"/>
      <sheetName val="Ceny_PKL"/>
      <sheetName val="PKL1F_zbiorczy"/>
      <sheetName val="PKL2F_zbiorczy"/>
      <sheetName val="Moduł_niestandardowy"/>
      <sheetName val="Ceny_PKL_MOD"/>
      <sheetName val="kody_PKL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A3" t="str">
            <v>PKL2F-1</v>
          </cell>
        </row>
        <row r="4">
          <cell r="A4" t="str">
            <v>PKL2F-2</v>
          </cell>
        </row>
        <row r="5">
          <cell r="A5" t="str">
            <v>PKL2F-3</v>
          </cell>
        </row>
        <row r="6">
          <cell r="A6" t="str">
            <v>PKL2F-4</v>
          </cell>
        </row>
        <row r="7">
          <cell r="A7" t="str">
            <v>PKL2F-5</v>
          </cell>
        </row>
        <row r="8">
          <cell r="A8" t="str">
            <v>PKL2F-4RX</v>
          </cell>
        </row>
        <row r="9">
          <cell r="A9" t="str">
            <v>PKL2F-5RX</v>
          </cell>
        </row>
        <row r="10">
          <cell r="A10" t="str">
            <v>PKL1F-1</v>
          </cell>
        </row>
        <row r="11">
          <cell r="A11" t="str">
            <v>PKL1F-2</v>
          </cell>
        </row>
        <row r="12">
          <cell r="A12" t="str">
            <v>PKL1F-2RX</v>
          </cell>
        </row>
        <row r="13">
          <cell r="A13" t="str">
            <v>PKL1F-1Z</v>
          </cell>
        </row>
        <row r="14">
          <cell r="A14" t="str">
            <v>PKL1F-2Z</v>
          </cell>
        </row>
        <row r="15">
          <cell r="A15" t="str">
            <v>PKL2F-1Z</v>
          </cell>
        </row>
        <row r="16">
          <cell r="A16" t="str">
            <v>PKL2F-2Z</v>
          </cell>
        </row>
        <row r="17">
          <cell r="A17" t="str">
            <v>PKL2F-3Z</v>
          </cell>
        </row>
        <row r="18">
          <cell r="A18" t="str">
            <v>PKL2F-4Z</v>
          </cell>
        </row>
        <row r="19">
          <cell r="A19" t="str">
            <v>PKL2F-5Z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krepi"/>
      <sheetName val="OB035"/>
      <sheetName val="1.0 Energenti"/>
      <sheetName val="1.1 Referenčne vrednosti"/>
      <sheetName val="15 min EE"/>
      <sheetName val="2.0 Energetsko upravljanje"/>
      <sheetName val="2.1 Izolacija fasade"/>
      <sheetName val="2.2 Izolacija streh_podstrešij"/>
      <sheetName val="2.3 Prenova stavbnega pohištva"/>
      <sheetName val="3.1 Prenova ogrevalnega sistema"/>
      <sheetName val="3.2 Prenova toplotne postaje"/>
      <sheetName val="3.1.1 Prenova priprave TSV"/>
      <sheetName val="3.2 Vgradnja TV in TG in HI"/>
      <sheetName val="3.4 Prenova prezračevanja"/>
      <sheetName val="3.3 Prenova prezračevanja"/>
      <sheetName val="4.1 Prenova razsvetljave"/>
      <sheetName val="UKREPI-M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M_HOCE"/>
      <sheetName val="Tip_svetilke"/>
      <sheetName val="Popis"/>
      <sheetName val="Kalkulacija delo JR"/>
      <sheetName val="JR Hoče_popis del"/>
      <sheetName val="KE-Ekonomika"/>
      <sheetName val="KE-Zbirna tabela"/>
      <sheetName val="Kalkulacija"/>
      <sheetName val="Komplet"/>
      <sheetName val="RekapKol"/>
      <sheetName val="PopisDELO"/>
      <sheetName val="KalkulacijaEK"/>
      <sheetName val="CenikEK"/>
      <sheetName val="VzpostavitevEK"/>
      <sheetName val="LetniStroškiEK"/>
      <sheetName val="Vzdrževanje"/>
      <sheetName val="Ponudba"/>
      <sheetName val="Ponudba RD"/>
      <sheetName val="Vzdrževanje RD"/>
      <sheetName val="TerminskiPlan"/>
      <sheetName val="Ponudba JR delo+svetilke"/>
      <sheetName val="Ponudba JR vzdr."/>
      <sheetName val="Ponudba JR Delo"/>
      <sheetName val="Kalkulacija_delo_JR"/>
      <sheetName val="JR_Hoče_popis_del"/>
      <sheetName val="KE-Zbirna_tabela"/>
      <sheetName val="Ponudba_RD"/>
      <sheetName val="Vzdrževanje_RD"/>
      <sheetName val="Ponudba_JR_delo+svetilke"/>
      <sheetName val="Ponudba_JR_vzdr_"/>
      <sheetName val="Ponudba_JR_Delo"/>
    </sheetNames>
    <sheetDataSet>
      <sheetData sheetId="0">
        <row r="1">
          <cell r="Y1">
            <v>4000</v>
          </cell>
        </row>
      </sheetData>
      <sheetData sheetId="1"/>
      <sheetData sheetId="2">
        <row r="1">
          <cell r="H1">
            <v>1.25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13">
          <cell r="B13" t="str">
            <v>Philips ClearWay LED 15W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Rates"/>
      <sheetName val="Kurs walut"/>
      <sheetName val="OFFER"/>
      <sheetName val="Pipe"/>
      <sheetName val="zbiorczy (new)"/>
      <sheetName val="Kurs_walut"/>
      <sheetName val="zbiorczy_(new)"/>
      <sheetName val="Baseline"/>
      <sheetName val="Ekonomika EpC"/>
      <sheetName val="Gradnja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/>
      <sheetData sheetId="7"/>
      <sheetData sheetId="8"/>
      <sheetData sheetId="9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alkEle"/>
      <sheetName val="EnolicniZapisi"/>
      <sheetName val="Tip_svetilke"/>
      <sheetName val="Popis"/>
      <sheetName val="Kalkulacija"/>
      <sheetName val="Vzdrževanje"/>
      <sheetName val="KalkulacijaEK"/>
      <sheetName val="CenikEK"/>
      <sheetName val="VzpostavitevEK"/>
      <sheetName val="LetniStroškiEK"/>
    </sheetNames>
    <sheetDataSet>
      <sheetData sheetId="0"/>
      <sheetData sheetId="1"/>
      <sheetData sheetId="2"/>
      <sheetData sheetId="3">
        <row r="1">
          <cell r="L1">
            <v>4000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 mesecima"/>
      <sheetName val="XDO_METADATA"/>
      <sheetName val="Skupno s cenami"/>
      <sheetName val="Data"/>
    </sheetNames>
    <sheetDataSet>
      <sheetData sheetId="0" refreshError="1"/>
      <sheetData sheetId="1" refreshError="1"/>
      <sheetData sheetId="2" refreshError="1"/>
      <sheetData sheetId="3">
        <row r="14">
          <cell r="C14">
            <v>309589</v>
          </cell>
        </row>
        <row r="15">
          <cell r="C15">
            <v>89609</v>
          </cell>
        </row>
        <row r="16">
          <cell r="C16">
            <v>0</v>
          </cell>
        </row>
        <row r="17">
          <cell r="C17">
            <v>18627.229999999989</v>
          </cell>
        </row>
        <row r="19">
          <cell r="C19">
            <v>872.94</v>
          </cell>
        </row>
        <row r="20">
          <cell r="C20">
            <v>20736.530000000002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diator"/>
      <sheetName val="koef"/>
      <sheetName val="Module1"/>
      <sheetName val="TABLE"/>
    </sheetNames>
    <sheetDataSet>
      <sheetData sheetId="0"/>
      <sheetData sheetId="1"/>
      <sheetData sheetId="2" refreshError="1"/>
      <sheetData sheetId="3">
        <row r="5">
          <cell r="B5">
            <v>1.3599999999999999E-2</v>
          </cell>
          <cell r="F5">
            <v>3.9299999999999995E-2</v>
          </cell>
        </row>
        <row r="6">
          <cell r="B6">
            <v>1.7299999999999999E-2</v>
          </cell>
          <cell r="F6">
            <v>5.1200000000000002E-2</v>
          </cell>
        </row>
        <row r="7">
          <cell r="B7">
            <v>2.23E-2</v>
          </cell>
          <cell r="F7">
            <v>7.0300000000000001E-2</v>
          </cell>
        </row>
        <row r="8">
          <cell r="B8">
            <v>2.8500000000000001E-2</v>
          </cell>
          <cell r="F8">
            <v>8.2500000000000004E-2</v>
          </cell>
        </row>
        <row r="9">
          <cell r="B9">
            <v>3.7200000000000004E-2</v>
          </cell>
          <cell r="F9">
            <v>0.1008</v>
          </cell>
        </row>
        <row r="10">
          <cell r="B10">
            <v>4.3099999999999999E-2</v>
          </cell>
          <cell r="F10">
            <v>0.125</v>
          </cell>
        </row>
        <row r="11">
          <cell r="F11">
            <v>0.15</v>
          </cell>
        </row>
        <row r="12">
          <cell r="B12">
            <v>8.0000000000000002E-3</v>
          </cell>
          <cell r="F12">
            <v>0.18289999999999998</v>
          </cell>
        </row>
        <row r="13">
          <cell r="B13">
            <v>0.01</v>
          </cell>
          <cell r="F13">
            <v>0.20729999999999998</v>
          </cell>
        </row>
        <row r="14">
          <cell r="B14">
            <v>1.2999999999999999E-2</v>
          </cell>
          <cell r="F14">
            <v>0.25440000000000002</v>
          </cell>
        </row>
        <row r="15">
          <cell r="B15">
            <v>1.4E-2</v>
          </cell>
          <cell r="F15">
            <v>0.31129999999999997</v>
          </cell>
        </row>
        <row r="16">
          <cell r="B16">
            <v>1.6E-2</v>
          </cell>
          <cell r="F16">
            <v>0.34300000000000003</v>
          </cell>
        </row>
        <row r="17">
          <cell r="B17">
            <v>0.02</v>
          </cell>
          <cell r="F17">
            <v>0.39379999999999993</v>
          </cell>
        </row>
        <row r="18">
          <cell r="B18">
            <v>2.5000000000000001E-2</v>
          </cell>
          <cell r="F18">
            <v>0.432</v>
          </cell>
        </row>
        <row r="19">
          <cell r="B19">
            <v>3.2000000000000001E-2</v>
          </cell>
          <cell r="F19">
            <v>0.49539999999999995</v>
          </cell>
        </row>
        <row r="20">
          <cell r="F20">
            <v>0.59650000000000003</v>
          </cell>
        </row>
        <row r="21">
          <cell r="B21">
            <v>0.01</v>
          </cell>
          <cell r="F21">
            <v>0.69699999999999995</v>
          </cell>
        </row>
        <row r="22">
          <cell r="B22">
            <v>1.2E-2</v>
          </cell>
          <cell r="F22">
            <v>0.79679999999999995</v>
          </cell>
        </row>
        <row r="23">
          <cell r="B23">
            <v>1.4E-2</v>
          </cell>
          <cell r="F23">
            <v>0.89439999999999997</v>
          </cell>
        </row>
        <row r="24">
          <cell r="B24">
            <v>0.02</v>
          </cell>
          <cell r="F24">
            <v>0.996</v>
          </cell>
        </row>
        <row r="25">
          <cell r="F25">
            <v>1.0980000000000001</v>
          </cell>
        </row>
        <row r="26">
          <cell r="F26">
            <v>1.1950000000000001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krepi"/>
      <sheetName val="Pripomočki"/>
      <sheetName val="OB019"/>
      <sheetName val="1.0 Energenti B"/>
      <sheetName val="1.1 Referenčne vrednosti B"/>
      <sheetName val="1.0 Energenti"/>
      <sheetName val="1.1 Referenčne vrednosti"/>
      <sheetName val="2.0 Energetsko upravljanje"/>
      <sheetName val="2.1 Izolacija fasade"/>
      <sheetName val="2.2 Izolacija streh_podstrešij"/>
      <sheetName val="2.3 Prenova stavbnega pohištva"/>
      <sheetName val="3.1 Prenova ogrevalnega sistema"/>
      <sheetName val="3.2 Prenova toplotne postaje"/>
      <sheetName val="3.2 Vgradnja TV in TG in HIX"/>
      <sheetName val="3.4 Prenova prezračevanja"/>
      <sheetName val="3.3 Prenova prezračevanja"/>
      <sheetName val="4.1 Prenova razsvetljave"/>
      <sheetName val="5. Prenova kotlovnice"/>
      <sheetName val="6. Prenova zunanje razsvetljave"/>
      <sheetName val="Obračun - Toplota"/>
      <sheetName val="Obračun - Elektrika"/>
      <sheetName val="Obračun - Vzdrževanje"/>
      <sheetName val="Obračun - Skupaj"/>
      <sheetName val="3.2 Vgradnja TV in TG in HI"/>
    </sheetNames>
    <sheetDataSet>
      <sheetData sheetId="0" refreshError="1"/>
      <sheetData sheetId="1">
        <row r="4">
          <cell r="D4" t="str">
            <v>DO</v>
          </cell>
          <cell r="E4" t="str">
            <v>ZP (Hi)</v>
          </cell>
          <cell r="F4" t="str">
            <v>ZP (Li)</v>
          </cell>
          <cell r="G4" t="str">
            <v>ELKO</v>
          </cell>
          <cell r="H4" t="str">
            <v>UNP</v>
          </cell>
          <cell r="I4" t="str">
            <v>EE</v>
          </cell>
        </row>
        <row r="5">
          <cell r="D5">
            <v>1</v>
          </cell>
          <cell r="E5">
            <v>11.331066666666667</v>
          </cell>
          <cell r="F5">
            <v>9.5</v>
          </cell>
          <cell r="G5">
            <v>10.17</v>
          </cell>
          <cell r="H5">
            <v>12.78</v>
          </cell>
          <cell r="I5">
            <v>1</v>
          </cell>
        </row>
        <row r="20">
          <cell r="C20" t="str">
            <v>A</v>
          </cell>
          <cell r="D20" t="str">
            <v>B</v>
          </cell>
          <cell r="E20" t="str">
            <v>C</v>
          </cell>
        </row>
      </sheetData>
      <sheetData sheetId="2" refreshError="1"/>
      <sheetData sheetId="3" refreshError="1"/>
      <sheetData sheetId="4" refreshError="1"/>
      <sheetData sheetId="5">
        <row r="4">
          <cell r="BR4" t="str">
            <v>DO</v>
          </cell>
        </row>
        <row r="5">
          <cell r="BR5" t="str">
            <v>EE</v>
          </cell>
        </row>
        <row r="6">
          <cell r="BR6" t="str">
            <v>ZP</v>
          </cell>
        </row>
        <row r="7">
          <cell r="BR7" t="str">
            <v>BIOMASA</v>
          </cell>
        </row>
        <row r="8">
          <cell r="BR8" t="str">
            <v>ELKO</v>
          </cell>
        </row>
        <row r="9">
          <cell r="BR9" t="str">
            <v>UNP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datki_motor"/>
      <sheetName val="Teh_preracun"/>
      <sheetName val="Emisije"/>
      <sheetName val="Kalkulacija - emisij"/>
      <sheetName val="Koledar"/>
      <sheetName val="DISCRIM-Elektrika"/>
      <sheetName val="Poraba_elektrike"/>
      <sheetName val="Poraba_EL-olja"/>
      <sheetName val="Energetska_bilanca"/>
      <sheetName val="EE-bilanca"/>
      <sheetName val="EL-olje_bilanca"/>
      <sheetName val="Nalozba"/>
      <sheetName val="Stroski obrat"/>
      <sheetName val="Econ_bilanca"/>
      <sheetName val="NSV_CFlow"/>
      <sheetName val="Analiza_ obcut"/>
      <sheetName val="(Poraba_El-kurilnega olja)"/>
      <sheetName val="Baseline"/>
      <sheetName val="Ekonomika EpC"/>
      <sheetName val="Gradnj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azalniki"/>
      <sheetName val="am. načrt-x-ELTEC"/>
      <sheetName val="Zamenjava"/>
      <sheetName val="Prihranki"/>
      <sheetName val="Rekapitulacija"/>
      <sheetName val="Vzdrževanje"/>
      <sheetName val="Cenik"/>
      <sheetName val="Cenik Luminext"/>
      <sheetName val="Cenik Reverberi"/>
      <sheetName val="Rever_Lumi"/>
      <sheetName val="am__načrt-x-ELTEC"/>
      <sheetName val="Cenik_Luminext"/>
      <sheetName val="Cenik_Reverberi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3">
          <cell r="F3">
            <v>216.5</v>
          </cell>
        </row>
        <row r="6">
          <cell r="F6">
            <v>252.8</v>
          </cell>
        </row>
        <row r="9">
          <cell r="F9">
            <v>151.35</v>
          </cell>
        </row>
        <row r="12">
          <cell r="F12">
            <v>151.35</v>
          </cell>
        </row>
        <row r="26">
          <cell r="F26">
            <v>134</v>
          </cell>
        </row>
        <row r="29">
          <cell r="F29">
            <v>136</v>
          </cell>
        </row>
        <row r="40">
          <cell r="F40">
            <v>147.69999999999999</v>
          </cell>
        </row>
        <row r="49">
          <cell r="F49">
            <v>420.8</v>
          </cell>
        </row>
        <row r="97">
          <cell r="F97">
            <v>2.5</v>
          </cell>
        </row>
        <row r="98">
          <cell r="F98">
            <v>0.2</v>
          </cell>
        </row>
        <row r="108">
          <cell r="F108">
            <v>2</v>
          </cell>
        </row>
        <row r="109">
          <cell r="F109">
            <v>0.2</v>
          </cell>
        </row>
      </sheetData>
      <sheetData sheetId="7">
        <row r="4">
          <cell r="C4">
            <v>1500</v>
          </cell>
        </row>
        <row r="10">
          <cell r="C10">
            <v>128</v>
          </cell>
        </row>
        <row r="15">
          <cell r="C15">
            <v>1575</v>
          </cell>
        </row>
        <row r="27">
          <cell r="C27">
            <v>131</v>
          </cell>
        </row>
        <row r="28">
          <cell r="C28">
            <v>134</v>
          </cell>
        </row>
        <row r="29">
          <cell r="C29">
            <v>118</v>
          </cell>
        </row>
        <row r="30">
          <cell r="C30">
            <v>118</v>
          </cell>
        </row>
        <row r="34">
          <cell r="C34">
            <v>246</v>
          </cell>
        </row>
        <row r="35">
          <cell r="C35">
            <v>246</v>
          </cell>
        </row>
        <row r="36">
          <cell r="C36">
            <v>259</v>
          </cell>
        </row>
        <row r="37">
          <cell r="C37">
            <v>262</v>
          </cell>
        </row>
        <row r="55">
          <cell r="C55">
            <v>30926</v>
          </cell>
        </row>
      </sheetData>
      <sheetData sheetId="8">
        <row r="32">
          <cell r="E32">
            <v>6150</v>
          </cell>
        </row>
        <row r="39">
          <cell r="E39">
            <v>1900</v>
          </cell>
        </row>
      </sheetData>
      <sheetData sheetId="9" refreshError="1"/>
      <sheetData sheetId="10"/>
      <sheetData sheetId="11">
        <row r="4">
          <cell r="C4">
            <v>1500</v>
          </cell>
        </row>
      </sheetData>
      <sheetData sheetId="12">
        <row r="32">
          <cell r="E32">
            <v>6150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G"/>
      <sheetName val="Muog"/>
      <sheetName val="Tilgung"/>
      <sheetName val="Tilgung Ferngas"/>
      <sheetName val="DCF"/>
      <sheetName val="s"/>
      <sheetName val="  ©"/>
      <sheetName val="Übersicht"/>
      <sheetName val="Anlagen"/>
      <sheetName val="Zahlungsströme"/>
      <sheetName val="Kennzahlen"/>
      <sheetName val="D-IRR"/>
      <sheetName val="D-CF"/>
      <sheetName val="D-E"/>
      <sheetName val="D-A"/>
      <sheetName val="D-A1"/>
      <sheetName val="D-A2"/>
      <sheetName val="Ablage"/>
      <sheetName val="D-IRR2"/>
      <sheetName val="D-CF2"/>
      <sheetName val="D-A1%"/>
      <sheetName val="D-A2%"/>
      <sheetName val="Tilgung_Ferngas"/>
      <sheetName val="__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G"/>
      <sheetName val="Muog"/>
      <sheetName val="Tilgung"/>
      <sheetName val="Tilgung Ferngas"/>
      <sheetName val="DCF"/>
      <sheetName val="s"/>
      <sheetName val="  ©"/>
      <sheetName val="Übersicht"/>
      <sheetName val="Anlagen"/>
      <sheetName val="Zahlungsströme"/>
      <sheetName val="Kennzahlen"/>
      <sheetName val="D-IRR"/>
      <sheetName val="D-CF"/>
      <sheetName val="D-E"/>
      <sheetName val="D-A"/>
      <sheetName val="D-A1"/>
      <sheetName val="D-A2"/>
      <sheetName val="Ablage"/>
      <sheetName val="D-IRR2"/>
      <sheetName val="D-CF2"/>
      <sheetName val="D-A1%"/>
      <sheetName val="D-A2%"/>
      <sheetName val="Tilgung_Ferngas"/>
      <sheetName val="__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3B84C56-B003-4133-A678-239CA0F70E1E}" name="Table5" displayName="Table5" ref="B6:I41" headerRowCount="0" totalsRowShown="0" headerRowDxfId="20" dataDxfId="18" headerRowBorderDxfId="19" tableBorderDxfId="17" totalsRowBorderDxfId="16">
  <tableColumns count="8">
    <tableColumn id="1" xr3:uid="{DC9CDAB0-BD72-4723-B49C-5B0E790A6B6C}" name="Column1" headerRowDxfId="15" dataDxfId="14"/>
    <tableColumn id="3" xr3:uid="{49819DB5-D730-459C-83E6-307CCD80FA8A}" name="Column3" headerRowDxfId="13" dataDxfId="12"/>
    <tableColumn id="4" xr3:uid="{37185A89-9375-43DA-9D6E-EFDBFE024D95}" name="Column4" headerRowDxfId="11" dataDxfId="10"/>
    <tableColumn id="5" xr3:uid="{0A72E197-01F3-46DD-982C-B3D471EB557B}" name="Column5" headerRowDxfId="9" dataDxfId="8"/>
    <tableColumn id="6" xr3:uid="{55EC3145-F715-4883-8DDA-E8CBA07050F8}" name="Column6" headerRowDxfId="7" dataDxfId="6"/>
    <tableColumn id="8" xr3:uid="{72B8FBCB-6153-40A2-B7D0-83618CCAA779}" name="Column8" headerRowDxfId="5" dataDxfId="4"/>
    <tableColumn id="2" xr3:uid="{47146F97-75EC-4C62-8572-BEA16A01F3FE}" name="Column2" headerRowDxfId="3" dataDxfId="2"/>
    <tableColumn id="7" xr3:uid="{86F47E35-849F-4B56-96FC-423163220298}" name="Column7" headerRowDxfId="1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Papi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2:I49"/>
  <sheetViews>
    <sheetView view="pageBreakPreview" zoomScaleNormal="100" zoomScaleSheetLayoutView="100" workbookViewId="0"/>
  </sheetViews>
  <sheetFormatPr defaultColWidth="9.140625" defaultRowHeight="14.25" x14ac:dyDescent="0.2"/>
  <cols>
    <col min="1" max="4" width="9.7109375" style="10" customWidth="1"/>
    <col min="5" max="5" width="9.7109375" style="9" customWidth="1"/>
    <col min="6" max="9" width="9.7109375" style="10" customWidth="1"/>
    <col min="10" max="16384" width="9.140625" style="10"/>
  </cols>
  <sheetData>
    <row r="12" spans="1:9" x14ac:dyDescent="0.2">
      <c r="H12" s="27"/>
    </row>
    <row r="14" spans="1:9" x14ac:dyDescent="0.2">
      <c r="A14" s="348" t="s">
        <v>49</v>
      </c>
      <c r="B14" s="348"/>
      <c r="C14" s="348"/>
      <c r="D14" s="348"/>
      <c r="E14" s="348"/>
      <c r="F14" s="348"/>
      <c r="G14" s="348"/>
      <c r="H14" s="348"/>
      <c r="I14" s="348"/>
    </row>
    <row r="15" spans="1:9" x14ac:dyDescent="0.2">
      <c r="A15" s="348"/>
      <c r="B15" s="348"/>
      <c r="C15" s="348"/>
      <c r="D15" s="348"/>
      <c r="E15" s="348"/>
      <c r="F15" s="348"/>
      <c r="G15" s="348"/>
      <c r="H15" s="348"/>
      <c r="I15" s="348"/>
    </row>
    <row r="16" spans="1:9" ht="34.5" customHeight="1" x14ac:dyDescent="0.2">
      <c r="A16" s="348"/>
      <c r="B16" s="348"/>
      <c r="C16" s="348"/>
      <c r="D16" s="348"/>
      <c r="E16" s="348"/>
      <c r="F16" s="348"/>
      <c r="G16" s="348"/>
      <c r="H16" s="348"/>
      <c r="I16" s="348"/>
    </row>
    <row r="19" spans="1:9" ht="23.25" x14ac:dyDescent="0.2">
      <c r="A19" s="346"/>
      <c r="B19" s="346"/>
      <c r="C19" s="346"/>
      <c r="D19" s="346"/>
      <c r="E19" s="346"/>
      <c r="F19" s="346"/>
      <c r="G19" s="346"/>
      <c r="H19" s="346"/>
      <c r="I19" s="346"/>
    </row>
    <row r="20" spans="1:9" ht="15" x14ac:dyDescent="0.2">
      <c r="A20" s="349"/>
      <c r="B20" s="349"/>
      <c r="C20" s="349"/>
      <c r="D20" s="349"/>
      <c r="E20" s="349"/>
      <c r="F20" s="349"/>
      <c r="G20" s="349"/>
      <c r="H20" s="349"/>
      <c r="I20" s="349"/>
    </row>
    <row r="21" spans="1:9" ht="15" x14ac:dyDescent="0.2">
      <c r="E21" s="17"/>
    </row>
    <row r="22" spans="1:9" ht="12.75" customHeight="1" x14ac:dyDescent="0.2"/>
    <row r="23" spans="1:9" ht="23.25" customHeight="1" x14ac:dyDescent="0.2"/>
    <row r="26" spans="1:9" ht="15" customHeight="1" x14ac:dyDescent="0.2">
      <c r="D26" s="347" t="s">
        <v>0</v>
      </c>
      <c r="E26" s="347"/>
      <c r="F26" s="347"/>
    </row>
    <row r="27" spans="1:9" ht="15" customHeight="1" x14ac:dyDescent="0.2">
      <c r="C27" s="11"/>
      <c r="D27" s="345" t="s">
        <v>1</v>
      </c>
      <c r="E27" s="345"/>
      <c r="F27" s="345"/>
      <c r="G27" s="27"/>
    </row>
    <row r="28" spans="1:9" x14ac:dyDescent="0.2">
      <c r="C28" s="11"/>
      <c r="D28" s="345" t="s">
        <v>2</v>
      </c>
      <c r="E28" s="345"/>
      <c r="F28" s="345"/>
      <c r="G28" s="27"/>
    </row>
    <row r="29" spans="1:9" x14ac:dyDescent="0.2">
      <c r="C29" s="11"/>
      <c r="D29" s="345" t="s">
        <v>3</v>
      </c>
      <c r="E29" s="345"/>
      <c r="F29" s="345"/>
      <c r="G29" s="27"/>
    </row>
    <row r="30" spans="1:9" x14ac:dyDescent="0.2">
      <c r="C30" s="11"/>
      <c r="D30" s="33"/>
      <c r="E30" s="33" t="s">
        <v>31</v>
      </c>
      <c r="F30" s="33"/>
      <c r="G30" s="27"/>
    </row>
    <row r="31" spans="1:9" x14ac:dyDescent="0.2">
      <c r="C31" s="11"/>
      <c r="D31" s="345"/>
      <c r="E31" s="345"/>
      <c r="F31" s="345"/>
      <c r="G31" s="27"/>
    </row>
    <row r="32" spans="1:9" x14ac:dyDescent="0.2">
      <c r="C32" s="11"/>
      <c r="D32" s="345"/>
      <c r="E32" s="345"/>
      <c r="F32" s="345"/>
      <c r="G32" s="27"/>
    </row>
    <row r="33" spans="3:7" x14ac:dyDescent="0.2">
      <c r="C33" s="11"/>
      <c r="D33" s="345"/>
      <c r="E33" s="345"/>
      <c r="F33" s="345"/>
      <c r="G33" s="27"/>
    </row>
    <row r="34" spans="3:7" x14ac:dyDescent="0.2">
      <c r="C34" s="11"/>
      <c r="D34" s="345"/>
      <c r="E34" s="345"/>
      <c r="F34" s="345"/>
      <c r="G34" s="27"/>
    </row>
    <row r="35" spans="3:7" x14ac:dyDescent="0.2">
      <c r="C35" s="11"/>
      <c r="D35" s="345"/>
      <c r="E35" s="345"/>
      <c r="F35" s="345"/>
      <c r="G35" s="27"/>
    </row>
    <row r="36" spans="3:7" x14ac:dyDescent="0.2">
      <c r="C36" s="11"/>
      <c r="D36" s="345"/>
      <c r="E36" s="345"/>
      <c r="F36" s="345"/>
      <c r="G36" s="27"/>
    </row>
    <row r="37" spans="3:7" x14ac:dyDescent="0.2">
      <c r="C37" s="11"/>
      <c r="D37" s="345"/>
      <c r="E37" s="345"/>
      <c r="F37" s="345"/>
      <c r="G37" s="27"/>
    </row>
    <row r="38" spans="3:7" x14ac:dyDescent="0.2">
      <c r="C38" s="11"/>
      <c r="D38" s="345"/>
      <c r="E38" s="345"/>
      <c r="F38" s="345"/>
      <c r="G38" s="27"/>
    </row>
    <row r="39" spans="3:7" x14ac:dyDescent="0.2">
      <c r="C39" s="11"/>
      <c r="D39" s="345"/>
      <c r="E39" s="345"/>
      <c r="F39" s="345"/>
      <c r="G39" s="27"/>
    </row>
    <row r="40" spans="3:7" x14ac:dyDescent="0.2">
      <c r="C40" s="11"/>
      <c r="D40" s="345"/>
      <c r="E40" s="345"/>
      <c r="F40" s="345"/>
      <c r="G40" s="27"/>
    </row>
    <row r="41" spans="3:7" x14ac:dyDescent="0.2">
      <c r="C41" s="11"/>
      <c r="D41" s="345"/>
      <c r="E41" s="345"/>
      <c r="F41" s="345"/>
      <c r="G41" s="27"/>
    </row>
    <row r="42" spans="3:7" x14ac:dyDescent="0.2">
      <c r="C42" s="11"/>
      <c r="D42" s="345"/>
      <c r="E42" s="345"/>
      <c r="F42" s="345"/>
      <c r="G42" s="27"/>
    </row>
    <row r="43" spans="3:7" x14ac:dyDescent="0.2">
      <c r="C43" s="11"/>
      <c r="D43" s="345"/>
      <c r="E43" s="345"/>
      <c r="F43" s="345"/>
      <c r="G43" s="27"/>
    </row>
    <row r="44" spans="3:7" x14ac:dyDescent="0.2">
      <c r="C44" s="11"/>
      <c r="D44" s="345"/>
      <c r="E44" s="345"/>
      <c r="F44" s="345"/>
      <c r="G44" s="27"/>
    </row>
    <row r="45" spans="3:7" x14ac:dyDescent="0.2">
      <c r="C45" s="27"/>
      <c r="D45" s="27"/>
      <c r="F45" s="27"/>
      <c r="G45" s="27"/>
    </row>
    <row r="46" spans="3:7" x14ac:dyDescent="0.2">
      <c r="C46" s="27"/>
      <c r="D46" s="27"/>
      <c r="F46" s="27"/>
      <c r="G46" s="27"/>
    </row>
    <row r="47" spans="3:7" x14ac:dyDescent="0.2">
      <c r="D47" s="27"/>
      <c r="E47" s="32"/>
      <c r="F47" s="27"/>
      <c r="G47" s="27"/>
    </row>
    <row r="48" spans="3:7" x14ac:dyDescent="0.2">
      <c r="D48" s="27"/>
      <c r="E48" s="32"/>
      <c r="F48" s="27"/>
      <c r="G48" s="27"/>
    </row>
    <row r="49" spans="4:7" x14ac:dyDescent="0.2">
      <c r="D49" s="27"/>
      <c r="E49" s="32"/>
      <c r="F49" s="27"/>
      <c r="G49" s="27"/>
    </row>
  </sheetData>
  <mergeCells count="21">
    <mergeCell ref="D44:F44"/>
    <mergeCell ref="D31:F31"/>
    <mergeCell ref="D29:F29"/>
    <mergeCell ref="D28:F28"/>
    <mergeCell ref="D27:F27"/>
    <mergeCell ref="D33:F33"/>
    <mergeCell ref="D34:F34"/>
    <mergeCell ref="D35:F35"/>
    <mergeCell ref="D37:F37"/>
    <mergeCell ref="D38:F38"/>
    <mergeCell ref="D39:F39"/>
    <mergeCell ref="D40:F40"/>
    <mergeCell ref="D41:F41"/>
    <mergeCell ref="D36:F36"/>
    <mergeCell ref="D32:F32"/>
    <mergeCell ref="D42:F42"/>
    <mergeCell ref="D43:F43"/>
    <mergeCell ref="A19:I19"/>
    <mergeCell ref="D26:F26"/>
    <mergeCell ref="A14:I16"/>
    <mergeCell ref="A20:I20"/>
  </mergeCells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7C8A2-B8C1-4622-B1FD-1E77BA42D6FB}">
  <sheetPr>
    <tabColor rgb="FFFFFF00"/>
    <pageSetUpPr fitToPage="1"/>
  </sheetPr>
  <dimension ref="A1:Y191"/>
  <sheetViews>
    <sheetView showGridLines="0" view="pageBreakPreview" zoomScale="85" zoomScaleNormal="100" zoomScaleSheetLayoutView="85" workbookViewId="0">
      <selection activeCell="D11" sqref="D11"/>
    </sheetView>
  </sheetViews>
  <sheetFormatPr defaultColWidth="9.140625" defaultRowHeight="12.75" x14ac:dyDescent="0.2"/>
  <cols>
    <col min="1" max="1" width="4.85546875" style="27" customWidth="1"/>
    <col min="2" max="2" width="43.5703125" style="27" customWidth="1"/>
    <col min="3" max="3" width="15" style="27" customWidth="1"/>
    <col min="4" max="4" width="18.85546875" style="27" customWidth="1"/>
    <col min="5" max="8" width="15" style="27" customWidth="1"/>
    <col min="9" max="9" width="8.28515625" style="27" customWidth="1"/>
    <col min="10" max="10" width="14.7109375" style="27" customWidth="1"/>
    <col min="11" max="11" width="13.85546875" style="27" customWidth="1"/>
    <col min="12" max="12" width="15.5703125" style="27" customWidth="1"/>
    <col min="13" max="13" width="16.140625" style="27" customWidth="1"/>
    <col min="14" max="14" width="18.42578125" style="27" customWidth="1"/>
    <col min="15" max="15" width="14.7109375" style="27" bestFit="1" customWidth="1"/>
    <col min="16" max="16" width="9.140625" style="27" customWidth="1"/>
    <col min="17" max="24" width="9.140625" style="27"/>
    <col min="25" max="25" width="14.5703125" style="27" bestFit="1" customWidth="1"/>
    <col min="26" max="16384" width="9.140625" style="27"/>
  </cols>
  <sheetData>
    <row r="1" spans="2:13" ht="14.1" customHeight="1" x14ac:dyDescent="0.2">
      <c r="B1" s="11"/>
      <c r="E1" s="11"/>
    </row>
    <row r="2" spans="2:13" ht="28.35" customHeight="1" x14ac:dyDescent="0.2">
      <c r="B2" s="53" t="s">
        <v>31</v>
      </c>
    </row>
    <row r="3" spans="2:13" ht="14.1" customHeight="1" x14ac:dyDescent="0.2"/>
    <row r="4" spans="2:13" ht="19.7" customHeight="1" thickBot="1" x14ac:dyDescent="0.25">
      <c r="B4" s="55" t="s">
        <v>2</v>
      </c>
    </row>
    <row r="5" spans="2:13" ht="18" customHeight="1" x14ac:dyDescent="0.2">
      <c r="B5" s="1" t="s">
        <v>32</v>
      </c>
      <c r="C5" s="29"/>
      <c r="D5" s="30"/>
    </row>
    <row r="6" spans="2:13" ht="18" customHeight="1" x14ac:dyDescent="0.2">
      <c r="B6" s="352" t="s">
        <v>6</v>
      </c>
      <c r="C6" s="353"/>
      <c r="D6" s="28">
        <v>6</v>
      </c>
      <c r="H6" s="154"/>
      <c r="J6" s="154"/>
      <c r="K6" s="154"/>
    </row>
    <row r="7" spans="2:13" ht="18" customHeight="1" x14ac:dyDescent="0.2">
      <c r="B7" s="155" t="s">
        <v>7</v>
      </c>
      <c r="C7" s="156"/>
      <c r="D7" s="157" t="str">
        <f ca="1">MID(CELL("filename", A1), FIND("]", CELL("filename", A1)) + 1, LEN(CELL("filename", A1)) - FIND("]", CELL("filename", A1)))</f>
        <v>IS06</v>
      </c>
      <c r="H7" s="154"/>
      <c r="J7" s="154"/>
      <c r="K7" s="154"/>
    </row>
    <row r="8" spans="2:13" ht="30" customHeight="1" thickBot="1" x14ac:dyDescent="0.25">
      <c r="B8" s="354" t="s">
        <v>58</v>
      </c>
      <c r="C8" s="355"/>
      <c r="D8" s="158" t="str">
        <f>INDEX('Referenčne količine'!$B$4:$M$12,MATCH($B8,('Referenčne količine'!$B$4:$B$12),0),MATCH($D$6,'Referenčne količine'!$B$5:$M$5,0))</f>
        <v>SE Prosvetni dom Artiče</v>
      </c>
      <c r="H8" s="154"/>
      <c r="J8" s="154"/>
      <c r="K8" s="154"/>
    </row>
    <row r="9" spans="2:13" ht="18.75" customHeight="1" x14ac:dyDescent="0.25">
      <c r="B9" s="159" t="s">
        <v>215</v>
      </c>
      <c r="C9" s="160"/>
      <c r="D9" s="161"/>
      <c r="H9" s="154"/>
      <c r="J9"/>
      <c r="K9" s="162"/>
      <c r="L9"/>
      <c r="M9"/>
    </row>
    <row r="10" spans="2:13" ht="18.75" customHeight="1" x14ac:dyDescent="0.25">
      <c r="B10" s="163" t="s">
        <v>62</v>
      </c>
      <c r="C10" s="164" t="s">
        <v>60</v>
      </c>
      <c r="D10" s="165">
        <f>INDEX('Referenčne količine'!$B$9:$M$12,MATCH(B10,('Referenčne količine'!$B$9:$B$12),0),MATCH($D$6,'Referenčne količine'!$B$5:$M$5,0))</f>
        <v>18.600000000000001</v>
      </c>
      <c r="H10" s="154"/>
      <c r="J10"/>
      <c r="K10" s="162"/>
      <c r="L10"/>
      <c r="M10"/>
    </row>
    <row r="11" spans="2:13" ht="18.75" customHeight="1" x14ac:dyDescent="0.25">
      <c r="B11" s="163" t="s">
        <v>148</v>
      </c>
      <c r="C11" s="164" t="s">
        <v>46</v>
      </c>
      <c r="D11" s="80"/>
      <c r="H11" s="154"/>
      <c r="J11" s="162"/>
      <c r="K11" s="162"/>
      <c r="L11"/>
      <c r="M11"/>
    </row>
    <row r="12" spans="2:13" ht="18.75" customHeight="1" x14ac:dyDescent="0.25">
      <c r="B12" s="163" t="s">
        <v>64</v>
      </c>
      <c r="C12" s="164" t="s">
        <v>27</v>
      </c>
      <c r="D12" s="165">
        <f>INDEX('Referenčne količine'!$B$9:$M$12,MATCH(B12,('Referenčne količine'!$B$9:$B$12),0),MATCH($D$6,'Referenčne količine'!$B$5:$M$5,0))</f>
        <v>0</v>
      </c>
      <c r="J12"/>
      <c r="K12"/>
      <c r="L12"/>
      <c r="M12"/>
    </row>
    <row r="13" spans="2:13" ht="18.75" customHeight="1" x14ac:dyDescent="0.25">
      <c r="B13" s="163" t="s">
        <v>65</v>
      </c>
      <c r="C13" s="164" t="s">
        <v>61</v>
      </c>
      <c r="D13" s="165">
        <f>INDEX('Referenčne količine'!$B$9:$M$12,MATCH(B13,('Referenčne količine'!$B$9:$B$12),0),MATCH($D$6,'Referenčne količine'!$B$5:$M$5,0))</f>
        <v>0</v>
      </c>
      <c r="J13"/>
      <c r="K13"/>
      <c r="L13"/>
      <c r="M13"/>
    </row>
    <row r="14" spans="2:13" ht="18.75" customHeight="1" thickBot="1" x14ac:dyDescent="0.3">
      <c r="B14" s="166" t="s">
        <v>145</v>
      </c>
      <c r="C14" s="167" t="s">
        <v>27</v>
      </c>
      <c r="D14" s="153"/>
      <c r="J14"/>
      <c r="K14"/>
      <c r="L14"/>
      <c r="M14"/>
    </row>
    <row r="15" spans="2:13" ht="18.75" customHeight="1" x14ac:dyDescent="0.25">
      <c r="B15" s="168" t="s">
        <v>77</v>
      </c>
      <c r="C15" s="169"/>
      <c r="D15" s="170"/>
      <c r="J15"/>
      <c r="K15"/>
      <c r="L15"/>
      <c r="M15"/>
    </row>
    <row r="16" spans="2:13" ht="18.75" customHeight="1" x14ac:dyDescent="0.25">
      <c r="B16" s="171" t="s">
        <v>140</v>
      </c>
      <c r="C16" s="172" t="s">
        <v>141</v>
      </c>
      <c r="D16" s="28">
        <f>IFERROR(VLOOKUP(D$6,'Osnovni podatki'!$B$6:$I$41,7,FALSE),"")</f>
        <v>18.48</v>
      </c>
      <c r="J16"/>
      <c r="K16"/>
      <c r="L16"/>
      <c r="M16"/>
    </row>
    <row r="17" spans="2:13" ht="18.75" customHeight="1" x14ac:dyDescent="0.25">
      <c r="B17" s="171" t="s">
        <v>77</v>
      </c>
      <c r="C17" s="172" t="s">
        <v>28</v>
      </c>
      <c r="D17" s="78"/>
      <c r="G17" s="173"/>
      <c r="J17"/>
      <c r="K17"/>
      <c r="L17"/>
      <c r="M17"/>
    </row>
    <row r="18" spans="2:13" ht="18.75" customHeight="1" x14ac:dyDescent="0.25">
      <c r="B18" s="171" t="s">
        <v>79</v>
      </c>
      <c r="C18" s="172" t="s">
        <v>28</v>
      </c>
      <c r="D18" s="79">
        <f>D16*358</f>
        <v>6615.84</v>
      </c>
      <c r="J18"/>
      <c r="K18"/>
      <c r="L18"/>
      <c r="M18"/>
    </row>
    <row r="19" spans="2:13" ht="18.75" customHeight="1" x14ac:dyDescent="0.25">
      <c r="B19" s="174" t="s">
        <v>147</v>
      </c>
      <c r="C19" s="175" t="s">
        <v>146</v>
      </c>
      <c r="D19" s="91"/>
      <c r="J19"/>
      <c r="K19"/>
      <c r="L19"/>
      <c r="M19"/>
    </row>
    <row r="20" spans="2:13" ht="18.75" customHeight="1" x14ac:dyDescent="0.25">
      <c r="B20" s="174" t="s">
        <v>200</v>
      </c>
      <c r="C20" s="175" t="s">
        <v>28</v>
      </c>
      <c r="D20" s="176">
        <f>D17-D18-D21</f>
        <v>-6615.84</v>
      </c>
      <c r="J20"/>
      <c r="K20"/>
      <c r="L20"/>
      <c r="M20"/>
    </row>
    <row r="21" spans="2:13" ht="18.75" customHeight="1" thickBot="1" x14ac:dyDescent="0.3">
      <c r="B21" s="174" t="s">
        <v>202</v>
      </c>
      <c r="C21" s="175" t="s">
        <v>28</v>
      </c>
      <c r="D21" s="165">
        <f>D17*D19</f>
        <v>0</v>
      </c>
      <c r="J21"/>
      <c r="K21"/>
      <c r="L21"/>
      <c r="M21"/>
    </row>
    <row r="22" spans="2:13" ht="18.75" customHeight="1" x14ac:dyDescent="0.25">
      <c r="B22" s="177" t="s">
        <v>66</v>
      </c>
      <c r="C22" s="178"/>
      <c r="D22" s="179"/>
      <c r="J22"/>
      <c r="K22"/>
      <c r="L22"/>
      <c r="M22"/>
    </row>
    <row r="23" spans="2:13" ht="18.75" customHeight="1" x14ac:dyDescent="0.25">
      <c r="B23" s="180" t="s">
        <v>67</v>
      </c>
      <c r="C23" s="181" t="s">
        <v>60</v>
      </c>
      <c r="D23" s="85"/>
      <c r="J23"/>
      <c r="K23"/>
      <c r="L23"/>
      <c r="M23"/>
    </row>
    <row r="24" spans="2:13" ht="18.75" customHeight="1" x14ac:dyDescent="0.25">
      <c r="B24" s="182" t="s">
        <v>137</v>
      </c>
      <c r="C24" s="183" t="s">
        <v>60</v>
      </c>
      <c r="D24" s="80"/>
      <c r="J24"/>
      <c r="K24"/>
      <c r="L24"/>
      <c r="M24"/>
    </row>
    <row r="25" spans="2:13" ht="18.75" customHeight="1" x14ac:dyDescent="0.25">
      <c r="B25" s="182" t="s">
        <v>138</v>
      </c>
      <c r="C25" s="183" t="s">
        <v>60</v>
      </c>
      <c r="D25" s="80"/>
      <c r="J25"/>
      <c r="K25"/>
      <c r="L25"/>
      <c r="M25"/>
    </row>
    <row r="26" spans="2:13" ht="18.75" customHeight="1" thickBot="1" x14ac:dyDescent="0.3">
      <c r="B26" s="184" t="s">
        <v>198</v>
      </c>
      <c r="C26" s="185" t="s">
        <v>60</v>
      </c>
      <c r="D26" s="186">
        <f>D10-D24</f>
        <v>18.600000000000001</v>
      </c>
      <c r="J26"/>
      <c r="K26"/>
      <c r="L26"/>
      <c r="M26"/>
    </row>
    <row r="27" spans="2:13" ht="18.75" customHeight="1" x14ac:dyDescent="0.25">
      <c r="B27" s="187" t="s">
        <v>29</v>
      </c>
      <c r="C27" s="188"/>
      <c r="D27" s="189"/>
      <c r="J27"/>
      <c r="K27"/>
      <c r="L27"/>
      <c r="M27"/>
    </row>
    <row r="28" spans="2:13" ht="18.75" customHeight="1" x14ac:dyDescent="0.25">
      <c r="B28" s="190" t="s">
        <v>216</v>
      </c>
      <c r="C28" s="191" t="s">
        <v>197</v>
      </c>
      <c r="D28" s="84"/>
      <c r="J28"/>
      <c r="K28"/>
      <c r="L28"/>
      <c r="M28"/>
    </row>
    <row r="29" spans="2:13" ht="18.75" customHeight="1" thickBot="1" x14ac:dyDescent="0.3">
      <c r="B29" s="192" t="s">
        <v>76</v>
      </c>
      <c r="C29" s="193" t="s">
        <v>61</v>
      </c>
      <c r="D29" s="194">
        <f>D16*D28</f>
        <v>0</v>
      </c>
      <c r="J29"/>
      <c r="K29"/>
      <c r="L29"/>
      <c r="M29"/>
    </row>
    <row r="30" spans="2:13" ht="18.75" customHeight="1" x14ac:dyDescent="0.25">
      <c r="B30" s="195" t="s">
        <v>199</v>
      </c>
      <c r="C30" s="196"/>
      <c r="D30" s="197"/>
      <c r="J30"/>
      <c r="K30"/>
      <c r="L30"/>
      <c r="M30"/>
    </row>
    <row r="31" spans="2:13" ht="18.75" customHeight="1" thickBot="1" x14ac:dyDescent="0.3">
      <c r="B31" s="198" t="s">
        <v>143</v>
      </c>
      <c r="C31" s="199" t="s">
        <v>27</v>
      </c>
      <c r="D31" s="83"/>
      <c r="J31"/>
      <c r="K31"/>
      <c r="L31"/>
      <c r="M31"/>
    </row>
    <row r="32" spans="2:13" ht="18.75" customHeight="1" x14ac:dyDescent="0.2">
      <c r="B32" s="200" t="s">
        <v>203</v>
      </c>
      <c r="C32" s="201"/>
      <c r="D32" s="202"/>
    </row>
    <row r="33" spans="2:6" ht="18.75" customHeight="1" x14ac:dyDescent="0.2">
      <c r="B33" s="203" t="s">
        <v>30</v>
      </c>
      <c r="C33" s="204" t="s">
        <v>61</v>
      </c>
      <c r="D33" s="165">
        <f>D13</f>
        <v>0</v>
      </c>
      <c r="E33" s="154"/>
    </row>
    <row r="34" spans="2:6" ht="18.75" customHeight="1" thickBot="1" x14ac:dyDescent="0.25">
      <c r="B34" s="205" t="s">
        <v>144</v>
      </c>
      <c r="C34" s="206" t="s">
        <v>61</v>
      </c>
      <c r="D34" s="194">
        <f>D10*D31</f>
        <v>0</v>
      </c>
    </row>
    <row r="35" spans="2:6" ht="18.75" customHeight="1" x14ac:dyDescent="0.2">
      <c r="B35" s="207" t="s">
        <v>204</v>
      </c>
      <c r="C35" s="208"/>
      <c r="D35" s="209"/>
    </row>
    <row r="36" spans="2:6" ht="18.75" customHeight="1" x14ac:dyDescent="0.2">
      <c r="B36" s="210" t="s">
        <v>205</v>
      </c>
      <c r="C36" s="211" t="s">
        <v>60</v>
      </c>
      <c r="D36" s="165">
        <f>D23*D11</f>
        <v>0</v>
      </c>
    </row>
    <row r="37" spans="2:6" ht="18.75" customHeight="1" x14ac:dyDescent="0.2">
      <c r="B37" s="210" t="s">
        <v>206</v>
      </c>
      <c r="C37" s="211" t="s">
        <v>146</v>
      </c>
      <c r="D37" s="212" t="e">
        <f>D24/D23</f>
        <v>#DIV/0!</v>
      </c>
    </row>
    <row r="38" spans="2:6" ht="18.75" customHeight="1" x14ac:dyDescent="0.2">
      <c r="B38" s="210" t="s">
        <v>70</v>
      </c>
      <c r="C38" s="211" t="s">
        <v>27</v>
      </c>
      <c r="D38" s="165">
        <f>D31</f>
        <v>0</v>
      </c>
    </row>
    <row r="39" spans="2:6" ht="18.75" customHeight="1" x14ac:dyDescent="0.2">
      <c r="B39" s="210" t="s">
        <v>207</v>
      </c>
      <c r="C39" s="211" t="s">
        <v>208</v>
      </c>
      <c r="D39" s="213">
        <f>J60</f>
        <v>10</v>
      </c>
    </row>
    <row r="40" spans="2:6" ht="18.75" customHeight="1" thickBot="1" x14ac:dyDescent="0.25">
      <c r="B40" s="214" t="s">
        <v>210</v>
      </c>
      <c r="C40" s="215" t="s">
        <v>28</v>
      </c>
      <c r="D40" s="194">
        <f>D20</f>
        <v>-6615.84</v>
      </c>
      <c r="F40" s="154"/>
    </row>
    <row r="41" spans="2:6" ht="14.1" customHeight="1" x14ac:dyDescent="0.2">
      <c r="F41" s="154"/>
    </row>
    <row r="42" spans="2:6" ht="14.1" customHeight="1" x14ac:dyDescent="0.2">
      <c r="B42" s="216"/>
      <c r="F42" s="154"/>
    </row>
    <row r="43" spans="2:6" ht="14.1" customHeight="1" x14ac:dyDescent="0.2">
      <c r="B43" s="216" t="s">
        <v>209</v>
      </c>
    </row>
    <row r="44" spans="2:6" ht="14.1" customHeight="1" x14ac:dyDescent="0.2">
      <c r="B44" s="27" t="s">
        <v>211</v>
      </c>
    </row>
    <row r="45" spans="2:6" ht="14.1" customHeight="1" x14ac:dyDescent="0.2">
      <c r="B45" s="27" t="s">
        <v>212</v>
      </c>
    </row>
    <row r="46" spans="2:6" ht="14.1" customHeight="1" x14ac:dyDescent="0.2">
      <c r="B46" s="27" t="s">
        <v>213</v>
      </c>
    </row>
    <row r="47" spans="2:6" ht="14.1" customHeight="1" x14ac:dyDescent="0.2">
      <c r="B47" s="27" t="s">
        <v>214</v>
      </c>
    </row>
    <row r="48" spans="2:6" ht="14.1" customHeight="1" x14ac:dyDescent="0.2"/>
    <row r="49" spans="1:25" ht="14.1" customHeight="1" x14ac:dyDescent="0.2"/>
    <row r="50" spans="1:25" ht="14.1" customHeight="1" x14ac:dyDescent="0.2"/>
    <row r="51" spans="1:25" ht="14.1" customHeight="1" x14ac:dyDescent="0.2">
      <c r="N51" s="10"/>
      <c r="O51" s="10"/>
      <c r="P51" s="10"/>
    </row>
    <row r="52" spans="1:25" ht="14.1" customHeight="1" x14ac:dyDescent="0.2">
      <c r="N52" s="10"/>
      <c r="O52" s="10"/>
      <c r="P52" s="10"/>
    </row>
    <row r="53" spans="1:25" ht="17.100000000000001" customHeight="1" thickBot="1" x14ac:dyDescent="0.25">
      <c r="B53" s="55"/>
      <c r="N53" s="10"/>
      <c r="O53" s="10"/>
      <c r="P53" s="10"/>
    </row>
    <row r="54" spans="1:25" ht="17.100000000000001" customHeight="1" x14ac:dyDescent="0.2">
      <c r="B54" s="217" t="s">
        <v>43</v>
      </c>
      <c r="C54" s="218"/>
      <c r="D54" s="218"/>
      <c r="E54" s="219" t="s">
        <v>217</v>
      </c>
      <c r="F54" s="219" t="s">
        <v>201</v>
      </c>
      <c r="G54" s="220" t="s">
        <v>24</v>
      </c>
      <c r="N54" s="221"/>
      <c r="O54" s="221"/>
      <c r="P54" s="10"/>
      <c r="Y54" s="222"/>
    </row>
    <row r="55" spans="1:25" ht="17.100000000000001" customHeight="1" x14ac:dyDescent="0.25">
      <c r="A55"/>
      <c r="B55" s="223" t="s">
        <v>78</v>
      </c>
      <c r="C55" s="224"/>
      <c r="D55" s="225" t="s">
        <v>61</v>
      </c>
      <c r="E55" s="92">
        <f>D24*D12+D25*D14-D29</f>
        <v>0</v>
      </c>
      <c r="F55" s="92">
        <f>D33-D34</f>
        <v>0</v>
      </c>
      <c r="G55" s="56">
        <f>D31*D10-(D26*D12-D25*D14)-D16*D28</f>
        <v>0</v>
      </c>
      <c r="H55" s="154"/>
      <c r="N55" s="221"/>
      <c r="O55" s="221"/>
      <c r="P55" s="10"/>
      <c r="Y55" s="222"/>
    </row>
    <row r="56" spans="1:25" ht="14.1" customHeight="1" x14ac:dyDescent="0.25">
      <c r="A56"/>
      <c r="B56" s="226" t="s">
        <v>44</v>
      </c>
      <c r="C56" s="227"/>
      <c r="D56" s="225" t="s">
        <v>28</v>
      </c>
      <c r="E56" s="92">
        <f>D78</f>
        <v>0</v>
      </c>
      <c r="F56" s="92" t="e">
        <f>F55/E55*E56</f>
        <v>#DIV/0!</v>
      </c>
      <c r="G56" s="56" t="e">
        <f>G55/E55*E56</f>
        <v>#DIV/0!</v>
      </c>
      <c r="H56" s="154"/>
      <c r="N56" s="221"/>
      <c r="O56" s="221"/>
      <c r="P56" s="10"/>
      <c r="Y56" s="222"/>
    </row>
    <row r="57" spans="1:25" ht="17.100000000000001" customHeight="1" x14ac:dyDescent="0.25">
      <c r="A57"/>
      <c r="B57" s="226" t="s">
        <v>45</v>
      </c>
      <c r="C57" s="227"/>
      <c r="D57" s="225" t="s">
        <v>28</v>
      </c>
      <c r="E57" s="92">
        <f>M91</f>
        <v>0</v>
      </c>
      <c r="F57" s="92" t="e">
        <f>F55/E55*E57</f>
        <v>#DIV/0!</v>
      </c>
      <c r="G57" s="56" t="e">
        <f>G55/E55*E57</f>
        <v>#DIV/0!</v>
      </c>
      <c r="H57" s="154"/>
      <c r="N57" s="221"/>
      <c r="O57" s="221"/>
      <c r="P57" s="10"/>
      <c r="Y57" s="222"/>
    </row>
    <row r="58" spans="1:25" ht="17.100000000000001" customHeight="1" thickBot="1" x14ac:dyDescent="0.3">
      <c r="A58"/>
      <c r="B58" s="228" t="s">
        <v>80</v>
      </c>
      <c r="C58" s="229"/>
      <c r="D58" s="230" t="s">
        <v>28</v>
      </c>
      <c r="E58" s="93">
        <f>D17-D18</f>
        <v>-6615.84</v>
      </c>
      <c r="F58" s="93">
        <f>D20</f>
        <v>-6615.84</v>
      </c>
      <c r="G58" s="94">
        <f>D21</f>
        <v>0</v>
      </c>
      <c r="H58" s="154"/>
      <c r="N58" s="221"/>
      <c r="O58" s="221"/>
      <c r="P58" s="10"/>
      <c r="Y58" s="222"/>
    </row>
    <row r="59" spans="1:25" ht="30.75" thickBot="1" x14ac:dyDescent="0.3">
      <c r="A59"/>
      <c r="B59"/>
      <c r="C59"/>
      <c r="D59"/>
      <c r="E59"/>
      <c r="J59" s="231" t="s">
        <v>41</v>
      </c>
      <c r="K59" s="24" t="s">
        <v>42</v>
      </c>
      <c r="L59" s="25"/>
      <c r="M59" s="26"/>
      <c r="N59" s="221"/>
      <c r="O59" s="221"/>
      <c r="P59" s="10"/>
      <c r="Y59" s="222"/>
    </row>
    <row r="60" spans="1:25" ht="17.100000000000001" customHeight="1" thickBot="1" x14ac:dyDescent="0.3">
      <c r="A60"/>
      <c r="B60" s="55" t="s">
        <v>34</v>
      </c>
      <c r="E60"/>
      <c r="J60" s="54">
        <f>'IS01'!J60</f>
        <v>10</v>
      </c>
      <c r="K60" s="21" t="s">
        <v>36</v>
      </c>
      <c r="L60" s="22" t="s">
        <v>37</v>
      </c>
      <c r="M60" s="23" t="s">
        <v>38</v>
      </c>
      <c r="N60" s="10"/>
      <c r="O60" s="10"/>
      <c r="P60" s="10"/>
      <c r="Y60" s="216"/>
    </row>
    <row r="61" spans="1:25" ht="15.75" customHeight="1" x14ac:dyDescent="0.25">
      <c r="A61"/>
      <c r="B61" s="13" t="s">
        <v>35</v>
      </c>
      <c r="C61" s="14"/>
      <c r="D61" s="15"/>
      <c r="E61"/>
      <c r="K61" s="232">
        <f>IF($J$60&gt;0, 1, "")</f>
        <v>1</v>
      </c>
      <c r="L61" s="233">
        <f t="shared" ref="L61:L90" si="0">IF($J$60&gt;=K61,$E$55, "")</f>
        <v>0</v>
      </c>
      <c r="M61" s="57">
        <f t="shared" ref="M61:M90" si="1">IF($J$60&gt;=K61,L61/((1+$M$93)^K61), "0")</f>
        <v>0</v>
      </c>
      <c r="N61" s="10"/>
      <c r="O61" s="10"/>
      <c r="P61" s="10"/>
      <c r="Y61" s="216"/>
    </row>
    <row r="62" spans="1:25" ht="15.75" customHeight="1" x14ac:dyDescent="0.25">
      <c r="A62"/>
      <c r="B62" s="2" t="s">
        <v>36</v>
      </c>
      <c r="C62" s="3" t="s">
        <v>37</v>
      </c>
      <c r="D62" s="4" t="s">
        <v>38</v>
      </c>
      <c r="E62"/>
      <c r="K62" s="234">
        <f>IF($J$60&gt;K61, 2, "")</f>
        <v>2</v>
      </c>
      <c r="L62" s="235">
        <f t="shared" si="0"/>
        <v>0</v>
      </c>
      <c r="M62" s="58">
        <f t="shared" si="1"/>
        <v>0</v>
      </c>
      <c r="N62" s="10"/>
      <c r="O62" s="10"/>
      <c r="P62" s="10"/>
      <c r="Y62" s="216"/>
    </row>
    <row r="63" spans="1:25" ht="15.75" customHeight="1" x14ac:dyDescent="0.25">
      <c r="A63"/>
      <c r="B63" s="31">
        <v>1</v>
      </c>
      <c r="C63" s="47">
        <f t="shared" ref="C63:C77" si="2">$E$55</f>
        <v>0</v>
      </c>
      <c r="D63" s="48">
        <f t="shared" ref="D63:D77" si="3">C63/((1+$D$80)^B63)</f>
        <v>0</v>
      </c>
      <c r="E63" s="162"/>
      <c r="K63" s="234">
        <f>IF($J$60&gt;K62,3, "")</f>
        <v>3</v>
      </c>
      <c r="L63" s="235">
        <f t="shared" si="0"/>
        <v>0</v>
      </c>
      <c r="M63" s="58">
        <f t="shared" si="1"/>
        <v>0</v>
      </c>
      <c r="N63" s="236"/>
      <c r="O63" s="236"/>
      <c r="P63" s="10"/>
      <c r="Y63" s="237"/>
    </row>
    <row r="64" spans="1:25" ht="15.75" customHeight="1" x14ac:dyDescent="0.2">
      <c r="B64" s="31">
        <v>2</v>
      </c>
      <c r="C64" s="47">
        <f t="shared" si="2"/>
        <v>0</v>
      </c>
      <c r="D64" s="48">
        <f t="shared" si="3"/>
        <v>0</v>
      </c>
      <c r="E64" s="247"/>
      <c r="K64" s="234">
        <f>IF($J$60&gt;K63, 4, "")</f>
        <v>4</v>
      </c>
      <c r="L64" s="235">
        <f t="shared" si="0"/>
        <v>0</v>
      </c>
      <c r="M64" s="58">
        <f t="shared" si="1"/>
        <v>0</v>
      </c>
      <c r="N64" s="10"/>
      <c r="O64" s="10"/>
      <c r="P64" s="10"/>
    </row>
    <row r="65" spans="2:19" ht="15.75" customHeight="1" x14ac:dyDescent="0.2">
      <c r="B65" s="31">
        <v>3</v>
      </c>
      <c r="C65" s="47">
        <f t="shared" si="2"/>
        <v>0</v>
      </c>
      <c r="D65" s="48">
        <f t="shared" si="3"/>
        <v>0</v>
      </c>
      <c r="E65" s="247"/>
      <c r="K65" s="234">
        <f>IF($J$60&gt;K64, 5, "")</f>
        <v>5</v>
      </c>
      <c r="L65" s="235">
        <f t="shared" si="0"/>
        <v>0</v>
      </c>
      <c r="M65" s="58">
        <f t="shared" si="1"/>
        <v>0</v>
      </c>
      <c r="N65" s="351"/>
      <c r="O65" s="351"/>
      <c r="P65" s="351"/>
    </row>
    <row r="66" spans="2:19" ht="15.75" customHeight="1" x14ac:dyDescent="0.2">
      <c r="B66" s="31">
        <v>4</v>
      </c>
      <c r="C66" s="47">
        <f t="shared" si="2"/>
        <v>0</v>
      </c>
      <c r="D66" s="48">
        <f t="shared" si="3"/>
        <v>0</v>
      </c>
      <c r="E66" s="247"/>
      <c r="G66" s="59"/>
      <c r="K66" s="234">
        <f>IF($J$60&gt;K65, 6, "")</f>
        <v>6</v>
      </c>
      <c r="L66" s="235">
        <f t="shared" si="0"/>
        <v>0</v>
      </c>
      <c r="M66" s="58">
        <f t="shared" si="1"/>
        <v>0</v>
      </c>
      <c r="N66" s="10"/>
      <c r="O66" s="10"/>
      <c r="P66" s="10"/>
    </row>
    <row r="67" spans="2:19" ht="15.75" customHeight="1" x14ac:dyDescent="0.2">
      <c r="B67" s="31">
        <v>5</v>
      </c>
      <c r="C67" s="47">
        <f t="shared" si="2"/>
        <v>0</v>
      </c>
      <c r="D67" s="48">
        <f t="shared" si="3"/>
        <v>0</v>
      </c>
      <c r="E67" s="247"/>
      <c r="I67" s="10"/>
      <c r="K67" s="234">
        <f>IF($J$60&gt;K66, 7, "")</f>
        <v>7</v>
      </c>
      <c r="L67" s="235">
        <f t="shared" si="0"/>
        <v>0</v>
      </c>
      <c r="M67" s="58">
        <f t="shared" si="1"/>
        <v>0</v>
      </c>
      <c r="N67" s="10"/>
      <c r="O67" s="10"/>
      <c r="P67" s="10"/>
    </row>
    <row r="68" spans="2:19" ht="15.75" customHeight="1" x14ac:dyDescent="0.2">
      <c r="B68" s="31">
        <v>6</v>
      </c>
      <c r="C68" s="47">
        <f t="shared" si="2"/>
        <v>0</v>
      </c>
      <c r="D68" s="48">
        <f t="shared" si="3"/>
        <v>0</v>
      </c>
      <c r="E68" s="247"/>
      <c r="I68" s="10"/>
      <c r="K68" s="234">
        <f>IF($J$60&gt;K67, 8, "")</f>
        <v>8</v>
      </c>
      <c r="L68" s="235">
        <f t="shared" si="0"/>
        <v>0</v>
      </c>
      <c r="M68" s="58">
        <f t="shared" si="1"/>
        <v>0</v>
      </c>
      <c r="N68" s="10"/>
      <c r="O68" s="10"/>
      <c r="P68" s="10"/>
      <c r="Q68" s="10"/>
      <c r="R68" s="10"/>
      <c r="S68" s="10"/>
    </row>
    <row r="69" spans="2:19" ht="15.75" customHeight="1" x14ac:dyDescent="0.2">
      <c r="B69" s="31">
        <v>7</v>
      </c>
      <c r="C69" s="47">
        <f t="shared" si="2"/>
        <v>0</v>
      </c>
      <c r="D69" s="48">
        <f t="shared" si="3"/>
        <v>0</v>
      </c>
      <c r="E69" s="247"/>
      <c r="K69" s="234">
        <f>IF($J$60&gt;K68, 9, "")</f>
        <v>9</v>
      </c>
      <c r="L69" s="235">
        <f t="shared" si="0"/>
        <v>0</v>
      </c>
      <c r="M69" s="58">
        <f t="shared" si="1"/>
        <v>0</v>
      </c>
      <c r="N69" s="10"/>
      <c r="O69" s="10"/>
      <c r="P69" s="10"/>
      <c r="Q69" s="10"/>
      <c r="R69" s="10"/>
      <c r="S69" s="10"/>
    </row>
    <row r="70" spans="2:19" ht="15.75" customHeight="1" x14ac:dyDescent="0.2">
      <c r="B70" s="31">
        <v>8</v>
      </c>
      <c r="C70" s="47">
        <f t="shared" si="2"/>
        <v>0</v>
      </c>
      <c r="D70" s="48">
        <f t="shared" si="3"/>
        <v>0</v>
      </c>
      <c r="E70" s="247"/>
      <c r="K70" s="234">
        <f>IF($J$60&gt;K69, 10, "")</f>
        <v>10</v>
      </c>
      <c r="L70" s="235">
        <f t="shared" si="0"/>
        <v>0</v>
      </c>
      <c r="M70" s="58">
        <f t="shared" si="1"/>
        <v>0</v>
      </c>
      <c r="N70" s="10"/>
      <c r="O70" s="10"/>
      <c r="P70" s="10"/>
    </row>
    <row r="71" spans="2:19" ht="15.75" customHeight="1" x14ac:dyDescent="0.2">
      <c r="B71" s="31">
        <v>9</v>
      </c>
      <c r="C71" s="47">
        <f t="shared" si="2"/>
        <v>0</v>
      </c>
      <c r="D71" s="48">
        <f t="shared" si="3"/>
        <v>0</v>
      </c>
      <c r="E71" s="247"/>
      <c r="K71" s="234" t="str">
        <f>IF($J$60&gt;K70, 11, "")</f>
        <v/>
      </c>
      <c r="L71" s="235" t="str">
        <f t="shared" si="0"/>
        <v/>
      </c>
      <c r="M71" s="58" t="str">
        <f t="shared" si="1"/>
        <v>0</v>
      </c>
      <c r="N71" s="10"/>
      <c r="O71" s="10"/>
      <c r="P71" s="10"/>
    </row>
    <row r="72" spans="2:19" ht="15.75" customHeight="1" x14ac:dyDescent="0.2">
      <c r="B72" s="31">
        <v>10</v>
      </c>
      <c r="C72" s="47">
        <f t="shared" si="2"/>
        <v>0</v>
      </c>
      <c r="D72" s="48">
        <f t="shared" si="3"/>
        <v>0</v>
      </c>
      <c r="E72" s="247"/>
      <c r="K72" s="234" t="str">
        <f>IF($J$60&gt;K71, 12, "")</f>
        <v/>
      </c>
      <c r="L72" s="235" t="str">
        <f t="shared" si="0"/>
        <v/>
      </c>
      <c r="M72" s="58" t="str">
        <f t="shared" si="1"/>
        <v>0</v>
      </c>
      <c r="N72" s="10"/>
      <c r="O72" s="10"/>
      <c r="P72" s="10"/>
    </row>
    <row r="73" spans="2:19" ht="15.75" customHeight="1" x14ac:dyDescent="0.2">
      <c r="B73" s="31">
        <v>11</v>
      </c>
      <c r="C73" s="47">
        <f t="shared" si="2"/>
        <v>0</v>
      </c>
      <c r="D73" s="48">
        <f t="shared" si="3"/>
        <v>0</v>
      </c>
      <c r="E73" s="247"/>
      <c r="K73" s="234" t="str">
        <f>IF($J$60&gt;K72, 13, "")</f>
        <v/>
      </c>
      <c r="L73" s="235" t="str">
        <f t="shared" si="0"/>
        <v/>
      </c>
      <c r="M73" s="58" t="str">
        <f t="shared" si="1"/>
        <v>0</v>
      </c>
      <c r="N73" s="10"/>
      <c r="O73" s="10"/>
      <c r="P73" s="10"/>
    </row>
    <row r="74" spans="2:19" ht="15.75" customHeight="1" x14ac:dyDescent="0.2">
      <c r="B74" s="31">
        <v>12</v>
      </c>
      <c r="C74" s="47">
        <f t="shared" si="2"/>
        <v>0</v>
      </c>
      <c r="D74" s="48">
        <f t="shared" si="3"/>
        <v>0</v>
      </c>
      <c r="E74" s="247"/>
      <c r="K74" s="234" t="str">
        <f>IF($J$60&gt;K73, 14, "")</f>
        <v/>
      </c>
      <c r="L74" s="235" t="str">
        <f t="shared" si="0"/>
        <v/>
      </c>
      <c r="M74" s="58" t="str">
        <f t="shared" si="1"/>
        <v>0</v>
      </c>
      <c r="N74" s="10"/>
      <c r="O74" s="10"/>
      <c r="P74" s="10"/>
    </row>
    <row r="75" spans="2:19" ht="15.75" customHeight="1" x14ac:dyDescent="0.2">
      <c r="B75" s="31">
        <v>13</v>
      </c>
      <c r="C75" s="47">
        <f t="shared" si="2"/>
        <v>0</v>
      </c>
      <c r="D75" s="48">
        <f t="shared" si="3"/>
        <v>0</v>
      </c>
      <c r="E75" s="247"/>
      <c r="K75" s="234" t="str">
        <f>IF($J$60&gt;K74, 15, "")</f>
        <v/>
      </c>
      <c r="L75" s="235" t="str">
        <f t="shared" si="0"/>
        <v/>
      </c>
      <c r="M75" s="58" t="str">
        <f t="shared" si="1"/>
        <v>0</v>
      </c>
      <c r="N75" s="10"/>
      <c r="O75" s="10"/>
      <c r="P75" s="10"/>
    </row>
    <row r="76" spans="2:19" ht="15.75" customHeight="1" x14ac:dyDescent="0.25">
      <c r="B76" s="31">
        <v>14</v>
      </c>
      <c r="C76" s="47">
        <f t="shared" si="2"/>
        <v>0</v>
      </c>
      <c r="D76" s="48">
        <f t="shared" si="3"/>
        <v>0</v>
      </c>
      <c r="E76" s="247"/>
      <c r="G76"/>
      <c r="K76" s="234" t="str">
        <f>IF($J$60&gt;K75, 16, "")</f>
        <v/>
      </c>
      <c r="L76" s="235" t="str">
        <f t="shared" si="0"/>
        <v/>
      </c>
      <c r="M76" s="58" t="str">
        <f t="shared" si="1"/>
        <v>0</v>
      </c>
      <c r="N76" s="10"/>
      <c r="O76" s="10"/>
      <c r="P76" s="10"/>
    </row>
    <row r="77" spans="2:19" ht="15.75" customHeight="1" x14ac:dyDescent="0.25">
      <c r="B77" s="31">
        <v>15</v>
      </c>
      <c r="C77" s="47">
        <f t="shared" si="2"/>
        <v>0</v>
      </c>
      <c r="D77" s="48">
        <f t="shared" si="3"/>
        <v>0</v>
      </c>
      <c r="E77" s="247"/>
      <c r="G77"/>
      <c r="K77" s="234" t="str">
        <f>IF($J$60&gt;K76, 17, "")</f>
        <v/>
      </c>
      <c r="L77" s="235" t="str">
        <f t="shared" si="0"/>
        <v/>
      </c>
      <c r="M77" s="58" t="str">
        <f t="shared" si="1"/>
        <v>0</v>
      </c>
      <c r="N77" s="10"/>
      <c r="O77" s="10"/>
      <c r="P77" s="10"/>
    </row>
    <row r="78" spans="2:19" ht="15.75" customHeight="1" thickBot="1" x14ac:dyDescent="0.3">
      <c r="B78" s="12" t="s">
        <v>39</v>
      </c>
      <c r="C78" s="51">
        <f>SUM(C63:C77)</f>
        <v>0</v>
      </c>
      <c r="D78" s="52">
        <f>SUM(D63:D77)</f>
        <v>0</v>
      </c>
      <c r="E78" s="162"/>
      <c r="F78" s="238"/>
      <c r="G78" s="238"/>
      <c r="K78" s="234" t="str">
        <f>IF($J$60&gt;K77, 18, "")</f>
        <v/>
      </c>
      <c r="L78" s="235" t="str">
        <f t="shared" si="0"/>
        <v/>
      </c>
      <c r="M78" s="58" t="str">
        <f t="shared" si="1"/>
        <v>0</v>
      </c>
      <c r="N78" s="10"/>
      <c r="O78" s="10"/>
      <c r="P78" s="10"/>
    </row>
    <row r="79" spans="2:19" ht="15.75" customHeight="1" x14ac:dyDescent="0.25">
      <c r="B79" s="239"/>
      <c r="C79" s="240"/>
      <c r="D79" s="241"/>
      <c r="E79"/>
      <c r="F79"/>
      <c r="G79"/>
      <c r="K79" s="234" t="str">
        <f>IF($J$60&gt;K78, 19, "")</f>
        <v/>
      </c>
      <c r="L79" s="235" t="str">
        <f t="shared" si="0"/>
        <v/>
      </c>
      <c r="M79" s="58" t="str">
        <f t="shared" si="1"/>
        <v>0</v>
      </c>
      <c r="N79" s="10"/>
      <c r="O79" s="10"/>
      <c r="P79" s="10"/>
    </row>
    <row r="80" spans="2:19" ht="15.75" customHeight="1" thickBot="1" x14ac:dyDescent="0.3">
      <c r="B80" s="242" t="s">
        <v>40</v>
      </c>
      <c r="C80" s="243"/>
      <c r="D80" s="60">
        <v>0.04</v>
      </c>
      <c r="E80"/>
      <c r="F80"/>
      <c r="G80" s="238"/>
      <c r="K80" s="234" t="str">
        <f>IF($J$60&gt;K79, 20, "")</f>
        <v/>
      </c>
      <c r="L80" s="235" t="str">
        <f t="shared" si="0"/>
        <v/>
      </c>
      <c r="M80" s="58" t="str">
        <f t="shared" si="1"/>
        <v>0</v>
      </c>
      <c r="N80" s="10"/>
      <c r="O80" s="10"/>
      <c r="P80" s="10"/>
      <c r="Q80" s="10"/>
      <c r="R80" s="10"/>
      <c r="S80" s="10"/>
    </row>
    <row r="81" spans="1:19" ht="15.75" customHeight="1" x14ac:dyDescent="0.25">
      <c r="B81"/>
      <c r="C81"/>
      <c r="D81"/>
      <c r="E81"/>
      <c r="F81"/>
      <c r="G81"/>
      <c r="K81" s="234" t="str">
        <f>IF($J$60&gt;K80, 21, "")</f>
        <v/>
      </c>
      <c r="L81" s="235" t="str">
        <f t="shared" si="0"/>
        <v/>
      </c>
      <c r="M81" s="58" t="str">
        <f t="shared" si="1"/>
        <v>0</v>
      </c>
      <c r="N81" s="10"/>
      <c r="O81" s="10"/>
      <c r="P81" s="10"/>
      <c r="Q81" s="10"/>
      <c r="R81" s="10"/>
      <c r="S81" s="10"/>
    </row>
    <row r="82" spans="1:19" ht="15.75" customHeight="1" x14ac:dyDescent="0.25">
      <c r="B82"/>
      <c r="C82"/>
      <c r="D82"/>
      <c r="E82"/>
      <c r="F82"/>
      <c r="G82"/>
      <c r="K82" s="234" t="str">
        <f>IF($J$60&gt;K81, 22, "")</f>
        <v/>
      </c>
      <c r="L82" s="235" t="str">
        <f t="shared" si="0"/>
        <v/>
      </c>
      <c r="M82" s="58" t="str">
        <f t="shared" si="1"/>
        <v>0</v>
      </c>
      <c r="N82" s="10"/>
      <c r="O82" s="10"/>
      <c r="P82" s="10"/>
    </row>
    <row r="83" spans="1:19" ht="15.75" customHeight="1" x14ac:dyDescent="0.25">
      <c r="B83"/>
      <c r="C83"/>
      <c r="D83"/>
      <c r="E83"/>
      <c r="F83"/>
      <c r="G83"/>
      <c r="K83" s="234" t="str">
        <f>IF($J$60&gt;K82, 23, "")</f>
        <v/>
      </c>
      <c r="L83" s="235" t="str">
        <f t="shared" si="0"/>
        <v/>
      </c>
      <c r="M83" s="58" t="str">
        <f t="shared" si="1"/>
        <v>0</v>
      </c>
      <c r="N83" s="351"/>
      <c r="O83" s="351"/>
      <c r="P83" s="10"/>
    </row>
    <row r="84" spans="1:19" ht="15.75" customHeight="1" x14ac:dyDescent="0.25">
      <c r="B84"/>
      <c r="C84"/>
      <c r="D84"/>
      <c r="E84"/>
      <c r="F84"/>
      <c r="G84"/>
      <c r="K84" s="234" t="str">
        <f>IF($J$60&gt;K83, 24, "")</f>
        <v/>
      </c>
      <c r="L84" s="235" t="str">
        <f t="shared" si="0"/>
        <v/>
      </c>
      <c r="M84" s="58" t="str">
        <f t="shared" si="1"/>
        <v>0</v>
      </c>
      <c r="N84" s="351"/>
      <c r="O84" s="351"/>
      <c r="P84" s="351"/>
    </row>
    <row r="85" spans="1:19" ht="15.75" customHeight="1" x14ac:dyDescent="0.25">
      <c r="B85"/>
      <c r="C85"/>
      <c r="D85"/>
      <c r="E85"/>
      <c r="F85"/>
      <c r="G85"/>
      <c r="K85" s="234" t="str">
        <f>IF($J$60&gt;K84, 25, "")</f>
        <v/>
      </c>
      <c r="L85" s="235" t="str">
        <f t="shared" si="0"/>
        <v/>
      </c>
      <c r="M85" s="58" t="str">
        <f t="shared" si="1"/>
        <v>0</v>
      </c>
      <c r="N85" s="10"/>
      <c r="O85" s="10"/>
      <c r="P85" s="10"/>
    </row>
    <row r="86" spans="1:19" ht="15.75" customHeight="1" x14ac:dyDescent="0.25">
      <c r="B86"/>
      <c r="C86"/>
      <c r="D86"/>
      <c r="E86"/>
      <c r="F86"/>
      <c r="G86"/>
      <c r="K86" s="234" t="str">
        <f>IF($J$60&gt;K85, 26, "")</f>
        <v/>
      </c>
      <c r="L86" s="235" t="str">
        <f>IF($J$60&gt;=K86,$E$55, "")</f>
        <v/>
      </c>
      <c r="M86" s="58" t="str">
        <f t="shared" si="1"/>
        <v>0</v>
      </c>
      <c r="N86" s="10"/>
      <c r="O86" s="10"/>
      <c r="P86" s="10"/>
    </row>
    <row r="87" spans="1:19" ht="15.75" customHeight="1" x14ac:dyDescent="0.25">
      <c r="A87"/>
      <c r="B87"/>
      <c r="C87"/>
      <c r="D87"/>
      <c r="E87"/>
      <c r="F87"/>
      <c r="G87"/>
      <c r="K87" s="234" t="str">
        <f>IF($J$60&gt;K86, 27, "")</f>
        <v/>
      </c>
      <c r="L87" s="235" t="str">
        <f t="shared" si="0"/>
        <v/>
      </c>
      <c r="M87" s="58" t="str">
        <f t="shared" si="1"/>
        <v>0</v>
      </c>
    </row>
    <row r="88" spans="1:19" ht="15.75" customHeight="1" x14ac:dyDescent="0.25">
      <c r="A88"/>
      <c r="B88"/>
      <c r="C88"/>
      <c r="D88"/>
      <c r="E88"/>
      <c r="F88"/>
      <c r="K88" s="234" t="str">
        <f>IF($J$60&gt;K87, 28, "")</f>
        <v/>
      </c>
      <c r="L88" s="235" t="str">
        <f t="shared" si="0"/>
        <v/>
      </c>
      <c r="M88" s="58" t="str">
        <f t="shared" si="1"/>
        <v>0</v>
      </c>
    </row>
    <row r="89" spans="1:19" ht="15.75" customHeight="1" x14ac:dyDescent="0.25">
      <c r="A89"/>
      <c r="B89"/>
      <c r="C89"/>
      <c r="D89"/>
      <c r="E89"/>
      <c r="F89"/>
      <c r="K89" s="234" t="str">
        <f>IF($J$60&gt;K88, 29, "")</f>
        <v/>
      </c>
      <c r="L89" s="235" t="str">
        <f t="shared" si="0"/>
        <v/>
      </c>
      <c r="M89" s="58" t="str">
        <f t="shared" si="1"/>
        <v>0</v>
      </c>
    </row>
    <row r="90" spans="1:19" ht="15.75" customHeight="1" x14ac:dyDescent="0.25">
      <c r="A90"/>
      <c r="B90"/>
      <c r="C90"/>
      <c r="D90"/>
      <c r="E90"/>
      <c r="F90"/>
      <c r="K90" s="234" t="str">
        <f>IF($J$60&gt;K89, 30, "")</f>
        <v/>
      </c>
      <c r="L90" s="235" t="str">
        <f t="shared" si="0"/>
        <v/>
      </c>
      <c r="M90" s="58" t="str">
        <f t="shared" si="1"/>
        <v>0</v>
      </c>
    </row>
    <row r="91" spans="1:19" ht="15.75" customHeight="1" x14ac:dyDescent="0.25">
      <c r="A91"/>
      <c r="B91"/>
      <c r="C91"/>
      <c r="D91"/>
      <c r="E91"/>
      <c r="F91"/>
      <c r="K91" s="2" t="s">
        <v>39</v>
      </c>
      <c r="L91" s="49">
        <f>SUM(L61:L90)</f>
        <v>0</v>
      </c>
      <c r="M91" s="50">
        <f>SUM(M61:M80)</f>
        <v>0</v>
      </c>
    </row>
    <row r="92" spans="1:19" ht="15.75" customHeight="1" x14ac:dyDescent="0.25">
      <c r="A92"/>
      <c r="B92"/>
      <c r="C92"/>
      <c r="D92"/>
      <c r="E92"/>
      <c r="F92"/>
      <c r="K92" s="245"/>
      <c r="L92" s="246"/>
      <c r="M92" s="28"/>
    </row>
    <row r="93" spans="1:19" ht="15.75" customHeight="1" thickBot="1" x14ac:dyDescent="0.3">
      <c r="A93"/>
      <c r="B93"/>
      <c r="C93"/>
      <c r="D93"/>
      <c r="E93"/>
      <c r="F93"/>
      <c r="K93" s="242" t="s">
        <v>40</v>
      </c>
      <c r="L93" s="243"/>
      <c r="M93" s="60">
        <v>0.04</v>
      </c>
    </row>
    <row r="94" spans="1:19" ht="15" x14ac:dyDescent="0.25">
      <c r="A94"/>
      <c r="B94"/>
      <c r="C94"/>
      <c r="D94"/>
      <c r="E94"/>
      <c r="F94"/>
    </row>
    <row r="95" spans="1:19" ht="14.1" customHeight="1" x14ac:dyDescent="0.2"/>
    <row r="96" spans="1:19" ht="14.1" customHeight="1" x14ac:dyDescent="0.2"/>
    <row r="97" s="27" customFormat="1" ht="14.1" customHeight="1" x14ac:dyDescent="0.2"/>
    <row r="98" s="27" customFormat="1" ht="14.1" customHeight="1" x14ac:dyDescent="0.2"/>
    <row r="99" s="27" customFormat="1" ht="14.1" customHeight="1" x14ac:dyDescent="0.2"/>
    <row r="100" s="27" customFormat="1" ht="14.1" customHeight="1" x14ac:dyDescent="0.2"/>
    <row r="101" s="27" customFormat="1" ht="14.1" customHeight="1" x14ac:dyDescent="0.2"/>
    <row r="102" s="27" customFormat="1" ht="14.1" customHeight="1" x14ac:dyDescent="0.2"/>
    <row r="103" s="27" customFormat="1" ht="14.1" customHeight="1" x14ac:dyDescent="0.2"/>
    <row r="104" s="27" customFormat="1" ht="14.1" customHeight="1" x14ac:dyDescent="0.2"/>
    <row r="105" s="27" customFormat="1" ht="14.1" customHeight="1" x14ac:dyDescent="0.2"/>
    <row r="106" s="27" customFormat="1" ht="14.1" customHeight="1" x14ac:dyDescent="0.2"/>
    <row r="107" s="27" customFormat="1" ht="14.1" customHeight="1" x14ac:dyDescent="0.2"/>
    <row r="108" s="27" customFormat="1" ht="14.1" customHeight="1" x14ac:dyDescent="0.2"/>
    <row r="109" s="27" customFormat="1" ht="14.1" customHeight="1" x14ac:dyDescent="0.2"/>
    <row r="110" s="27" customFormat="1" ht="14.1" customHeight="1" x14ac:dyDescent="0.2"/>
    <row r="111" s="27" customFormat="1" ht="14.1" customHeight="1" x14ac:dyDescent="0.2"/>
    <row r="112" s="27" customFormat="1" ht="14.1" customHeight="1" x14ac:dyDescent="0.2"/>
    <row r="113" s="27" customFormat="1" ht="14.1" customHeight="1" x14ac:dyDescent="0.2"/>
    <row r="114" s="27" customFormat="1" ht="14.1" customHeight="1" x14ac:dyDescent="0.2"/>
    <row r="115" s="27" customFormat="1" ht="14.1" customHeight="1" x14ac:dyDescent="0.2"/>
    <row r="116" s="27" customFormat="1" ht="14.1" customHeight="1" x14ac:dyDescent="0.2"/>
    <row r="117" s="27" customFormat="1" ht="14.1" customHeight="1" x14ac:dyDescent="0.2"/>
    <row r="118" s="27" customFormat="1" ht="14.1" customHeight="1" x14ac:dyDescent="0.2"/>
    <row r="119" s="27" customFormat="1" ht="14.1" customHeight="1" x14ac:dyDescent="0.2"/>
    <row r="120" s="27" customFormat="1" ht="14.1" customHeight="1" x14ac:dyDescent="0.2"/>
    <row r="121" s="27" customFormat="1" ht="14.1" customHeight="1" x14ac:dyDescent="0.2"/>
    <row r="122" s="27" customFormat="1" ht="14.1" customHeight="1" x14ac:dyDescent="0.2"/>
    <row r="123" s="27" customFormat="1" ht="14.1" customHeight="1" x14ac:dyDescent="0.2"/>
    <row r="124" s="27" customFormat="1" ht="14.1" customHeight="1" x14ac:dyDescent="0.2"/>
    <row r="125" s="27" customFormat="1" ht="14.1" customHeight="1" x14ac:dyDescent="0.2"/>
    <row r="126" s="27" customFormat="1" ht="14.1" customHeight="1" x14ac:dyDescent="0.2"/>
    <row r="127" s="27" customFormat="1" ht="14.1" customHeight="1" x14ac:dyDescent="0.2"/>
    <row r="128" s="27" customFormat="1" ht="14.1" customHeight="1" x14ac:dyDescent="0.2"/>
    <row r="129" s="27" customFormat="1" ht="14.1" customHeight="1" x14ac:dyDescent="0.2"/>
    <row r="130" s="27" customFormat="1" ht="14.1" customHeight="1" x14ac:dyDescent="0.2"/>
    <row r="131" s="27" customFormat="1" ht="14.1" customHeight="1" x14ac:dyDescent="0.2"/>
    <row r="132" s="27" customFormat="1" ht="14.1" customHeight="1" x14ac:dyDescent="0.2"/>
    <row r="133" s="27" customFormat="1" ht="14.1" customHeight="1" x14ac:dyDescent="0.2"/>
    <row r="134" s="27" customFormat="1" ht="14.1" customHeight="1" x14ac:dyDescent="0.2"/>
    <row r="135" s="27" customFormat="1" ht="14.1" customHeight="1" x14ac:dyDescent="0.2"/>
    <row r="136" s="27" customFormat="1" ht="14.1" customHeight="1" x14ac:dyDescent="0.2"/>
    <row r="137" s="27" customFormat="1" ht="14.1" customHeight="1" x14ac:dyDescent="0.2"/>
    <row r="138" s="27" customFormat="1" ht="14.1" customHeight="1" x14ac:dyDescent="0.2"/>
    <row r="139" s="27" customFormat="1" ht="14.1" customHeight="1" x14ac:dyDescent="0.2"/>
    <row r="140" s="27" customFormat="1" ht="14.1" customHeight="1" x14ac:dyDescent="0.2"/>
    <row r="141" s="27" customFormat="1" ht="14.1" customHeight="1" x14ac:dyDescent="0.2"/>
    <row r="142" s="27" customFormat="1" ht="14.1" customHeight="1" x14ac:dyDescent="0.2"/>
    <row r="143" s="27" customFormat="1" ht="14.1" customHeight="1" x14ac:dyDescent="0.2"/>
    <row r="144" s="27" customFormat="1" ht="14.1" customHeight="1" x14ac:dyDescent="0.2"/>
    <row r="145" s="27" customFormat="1" ht="14.1" customHeight="1" x14ac:dyDescent="0.2"/>
    <row r="146" s="27" customFormat="1" ht="14.1" customHeight="1" x14ac:dyDescent="0.2"/>
    <row r="147" s="27" customFormat="1" ht="14.1" customHeight="1" x14ac:dyDescent="0.2"/>
    <row r="148" s="27" customFormat="1" ht="14.1" customHeight="1" x14ac:dyDescent="0.2"/>
    <row r="149" s="27" customFormat="1" ht="14.1" customHeight="1" x14ac:dyDescent="0.2"/>
    <row r="150" s="27" customFormat="1" ht="14.1" customHeight="1" x14ac:dyDescent="0.2"/>
    <row r="151" s="27" customFormat="1" ht="14.1" customHeight="1" x14ac:dyDescent="0.2"/>
    <row r="152" s="27" customFormat="1" ht="14.1" customHeight="1" x14ac:dyDescent="0.2"/>
    <row r="153" s="27" customFormat="1" ht="14.1" customHeight="1" x14ac:dyDescent="0.2"/>
    <row r="154" s="27" customFormat="1" ht="14.1" customHeight="1" x14ac:dyDescent="0.2"/>
    <row r="155" s="27" customFormat="1" ht="14.1" customHeight="1" x14ac:dyDescent="0.2"/>
    <row r="156" s="27" customFormat="1" ht="14.1" customHeight="1" x14ac:dyDescent="0.2"/>
    <row r="157" s="27" customFormat="1" ht="14.1" customHeight="1" x14ac:dyDescent="0.2"/>
    <row r="158" s="27" customFormat="1" ht="14.1" customHeight="1" x14ac:dyDescent="0.2"/>
    <row r="159" s="27" customFormat="1" ht="14.1" customHeight="1" x14ac:dyDescent="0.2"/>
    <row r="160" s="27" customFormat="1" ht="14.1" customHeight="1" x14ac:dyDescent="0.2"/>
    <row r="161" s="27" customFormat="1" ht="14.1" customHeight="1" x14ac:dyDescent="0.2"/>
    <row r="162" s="27" customFormat="1" ht="14.1" customHeight="1" x14ac:dyDescent="0.2"/>
    <row r="163" s="27" customFormat="1" ht="14.1" customHeight="1" x14ac:dyDescent="0.2"/>
    <row r="164" s="27" customFormat="1" ht="14.1" customHeight="1" x14ac:dyDescent="0.2"/>
    <row r="165" s="27" customFormat="1" ht="14.1" customHeight="1" x14ac:dyDescent="0.2"/>
    <row r="166" s="27" customFormat="1" ht="14.1" customHeight="1" x14ac:dyDescent="0.2"/>
    <row r="167" s="27" customFormat="1" ht="14.1" customHeight="1" x14ac:dyDescent="0.2"/>
    <row r="168" s="27" customFormat="1" ht="14.1" customHeight="1" x14ac:dyDescent="0.2"/>
    <row r="169" s="27" customFormat="1" ht="14.1" customHeight="1" x14ac:dyDescent="0.2"/>
    <row r="170" s="27" customFormat="1" ht="14.1" customHeight="1" x14ac:dyDescent="0.2"/>
    <row r="171" s="27" customFormat="1" ht="14.1" customHeight="1" x14ac:dyDescent="0.2"/>
    <row r="172" s="27" customFormat="1" ht="14.1" customHeight="1" x14ac:dyDescent="0.2"/>
    <row r="173" s="27" customFormat="1" ht="14.1" customHeight="1" x14ac:dyDescent="0.2"/>
    <row r="174" s="27" customFormat="1" ht="14.1" customHeight="1" x14ac:dyDescent="0.2"/>
    <row r="175" s="27" customFormat="1" ht="14.1" customHeight="1" x14ac:dyDescent="0.2"/>
    <row r="176" s="27" customFormat="1" ht="14.1" customHeight="1" x14ac:dyDescent="0.2"/>
    <row r="177" s="27" customFormat="1" ht="14.1" customHeight="1" x14ac:dyDescent="0.2"/>
    <row r="178" s="27" customFormat="1" ht="14.1" customHeight="1" x14ac:dyDescent="0.2"/>
    <row r="179" s="27" customFormat="1" ht="14.1" customHeight="1" x14ac:dyDescent="0.2"/>
    <row r="180" s="27" customFormat="1" ht="14.1" customHeight="1" x14ac:dyDescent="0.2"/>
    <row r="181" s="27" customFormat="1" ht="14.1" customHeight="1" x14ac:dyDescent="0.2"/>
    <row r="182" s="27" customFormat="1" ht="14.1" customHeight="1" x14ac:dyDescent="0.2"/>
    <row r="183" s="27" customFormat="1" ht="14.1" customHeight="1" x14ac:dyDescent="0.2"/>
    <row r="184" s="27" customFormat="1" ht="14.1" customHeight="1" x14ac:dyDescent="0.2"/>
    <row r="185" s="27" customFormat="1" ht="14.1" customHeight="1" x14ac:dyDescent="0.2"/>
    <row r="186" s="27" customFormat="1" ht="14.1" customHeight="1" x14ac:dyDescent="0.2"/>
    <row r="187" s="27" customFormat="1" ht="14.1" customHeight="1" x14ac:dyDescent="0.2"/>
    <row r="188" s="27" customFormat="1" ht="14.1" customHeight="1" x14ac:dyDescent="0.2"/>
    <row r="189" s="27" customFormat="1" ht="14.1" customHeight="1" x14ac:dyDescent="0.2"/>
    <row r="190" s="27" customFormat="1" ht="14.1" customHeight="1" x14ac:dyDescent="0.2"/>
    <row r="191" s="27" customFormat="1" ht="14.1" customHeight="1" x14ac:dyDescent="0.2"/>
  </sheetData>
  <sheetProtection sheet="1" selectLockedCells="1"/>
  <mergeCells count="5">
    <mergeCell ref="B6:C6"/>
    <mergeCell ref="B8:C8"/>
    <mergeCell ref="N65:P65"/>
    <mergeCell ref="N83:O83"/>
    <mergeCell ref="N84:P84"/>
  </mergeCells>
  <pageMargins left="0.25" right="0.25" top="0.75" bottom="0.75" header="0.3" footer="0.3"/>
  <pageSetup paperSize="9" scale="46" fitToHeight="0" orientation="portrait" r:id="rId1"/>
  <headerFooter>
    <oddFooter>&amp;L&amp;A&amp;R&amp;P/&amp;N</oddFooter>
  </headerFooter>
  <rowBreaks count="1" manualBreakCount="1">
    <brk id="52" max="12" man="1"/>
  </rowBreaks>
  <colBreaks count="1" manualBreakCount="1">
    <brk id="8" max="121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8A304FE-71A6-4F87-B9FE-8C21323EFA8C}">
          <x14:formula1>
            <xm:f>'Osnovni podatki'!$B$6:$B$40</xm:f>
          </x14:formula1>
          <xm:sqref>D6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8C0A5-8B83-40C3-A81A-AA224C081647}">
  <sheetPr>
    <tabColor rgb="FFFFFF00"/>
    <pageSetUpPr fitToPage="1"/>
  </sheetPr>
  <dimension ref="A1:Y191"/>
  <sheetViews>
    <sheetView showGridLines="0" view="pageBreakPreview" zoomScale="85" zoomScaleNormal="100" zoomScaleSheetLayoutView="85" workbookViewId="0">
      <selection activeCell="D11" sqref="D11"/>
    </sheetView>
  </sheetViews>
  <sheetFormatPr defaultColWidth="9.140625" defaultRowHeight="12.75" x14ac:dyDescent="0.2"/>
  <cols>
    <col min="1" max="1" width="4.85546875" style="27" customWidth="1"/>
    <col min="2" max="2" width="43.5703125" style="27" customWidth="1"/>
    <col min="3" max="3" width="15" style="27" customWidth="1"/>
    <col min="4" max="4" width="18.85546875" style="27" customWidth="1"/>
    <col min="5" max="8" width="15" style="27" customWidth="1"/>
    <col min="9" max="9" width="8.28515625" style="27" customWidth="1"/>
    <col min="10" max="10" width="14.7109375" style="27" customWidth="1"/>
    <col min="11" max="11" width="13.85546875" style="27" customWidth="1"/>
    <col min="12" max="12" width="15.5703125" style="27" customWidth="1"/>
    <col min="13" max="13" width="16.140625" style="27" customWidth="1"/>
    <col min="14" max="14" width="18.42578125" style="27" customWidth="1"/>
    <col min="15" max="15" width="14.7109375" style="27" bestFit="1" customWidth="1"/>
    <col min="16" max="16" width="9.140625" style="27" customWidth="1"/>
    <col min="17" max="24" width="9.140625" style="27"/>
    <col min="25" max="25" width="14.5703125" style="27" bestFit="1" customWidth="1"/>
    <col min="26" max="16384" width="9.140625" style="27"/>
  </cols>
  <sheetData>
    <row r="1" spans="2:13" ht="14.1" customHeight="1" x14ac:dyDescent="0.2">
      <c r="B1" s="11"/>
      <c r="E1" s="11"/>
    </row>
    <row r="2" spans="2:13" ht="28.35" customHeight="1" x14ac:dyDescent="0.2">
      <c r="B2" s="53" t="s">
        <v>31</v>
      </c>
    </row>
    <row r="3" spans="2:13" ht="14.1" customHeight="1" x14ac:dyDescent="0.2"/>
    <row r="4" spans="2:13" ht="19.7" customHeight="1" thickBot="1" x14ac:dyDescent="0.25">
      <c r="B4" s="55" t="s">
        <v>2</v>
      </c>
    </row>
    <row r="5" spans="2:13" ht="18" customHeight="1" x14ac:dyDescent="0.2">
      <c r="B5" s="1" t="s">
        <v>32</v>
      </c>
      <c r="C5" s="29"/>
      <c r="D5" s="30"/>
    </row>
    <row r="6" spans="2:13" ht="18" customHeight="1" x14ac:dyDescent="0.2">
      <c r="B6" s="352" t="s">
        <v>6</v>
      </c>
      <c r="C6" s="353"/>
      <c r="D6" s="28">
        <v>7</v>
      </c>
      <c r="H6" s="154"/>
      <c r="J6" s="154"/>
      <c r="K6" s="154"/>
    </row>
    <row r="7" spans="2:13" ht="18" customHeight="1" x14ac:dyDescent="0.2">
      <c r="B7" s="155" t="s">
        <v>7</v>
      </c>
      <c r="C7" s="156"/>
      <c r="D7" s="157" t="str">
        <f ca="1">MID(CELL("filename", A1), FIND("]", CELL("filename", A1)) + 1, LEN(CELL("filename", A1)) - FIND("]", CELL("filename", A1)))</f>
        <v>IS07</v>
      </c>
      <c r="H7" s="154"/>
      <c r="J7" s="154"/>
      <c r="K7" s="154"/>
    </row>
    <row r="8" spans="2:13" ht="30" customHeight="1" thickBot="1" x14ac:dyDescent="0.25">
      <c r="B8" s="354" t="s">
        <v>58</v>
      </c>
      <c r="C8" s="355"/>
      <c r="D8" s="158" t="str">
        <f>INDEX('Referenčne količine'!$B$4:$M$12,MATCH($B8,('Referenčne količine'!$B$4:$B$12),0),MATCH($D$6,'Referenčne količine'!$B$5:$M$5,0))</f>
        <v>SE Zdravstvena postaja Bizeljsko</v>
      </c>
      <c r="H8" s="154"/>
      <c r="J8" s="154"/>
      <c r="K8" s="154"/>
    </row>
    <row r="9" spans="2:13" ht="18.75" customHeight="1" x14ac:dyDescent="0.25">
      <c r="B9" s="159" t="s">
        <v>215</v>
      </c>
      <c r="C9" s="160"/>
      <c r="D9" s="161"/>
      <c r="H9" s="154"/>
      <c r="J9"/>
      <c r="K9" s="162"/>
      <c r="L9"/>
      <c r="M9"/>
    </row>
    <row r="10" spans="2:13" ht="18.75" customHeight="1" x14ac:dyDescent="0.25">
      <c r="B10" s="163" t="s">
        <v>62</v>
      </c>
      <c r="C10" s="164" t="s">
        <v>60</v>
      </c>
      <c r="D10" s="165">
        <f>INDEX('Referenčne količine'!$B$9:$M$12,MATCH(B10,('Referenčne količine'!$B$9:$B$12),0),MATCH($D$6,'Referenčne količine'!$B$5:$M$5,0))</f>
        <v>29.1</v>
      </c>
      <c r="H10" s="154"/>
      <c r="J10"/>
      <c r="K10" s="162"/>
      <c r="L10"/>
      <c r="M10"/>
    </row>
    <row r="11" spans="2:13" ht="18.75" customHeight="1" x14ac:dyDescent="0.25">
      <c r="B11" s="163" t="s">
        <v>148</v>
      </c>
      <c r="C11" s="164" t="s">
        <v>46</v>
      </c>
      <c r="D11" s="80"/>
      <c r="H11" s="154"/>
      <c r="J11" s="162"/>
      <c r="K11" s="162"/>
      <c r="L11"/>
      <c r="M11"/>
    </row>
    <row r="12" spans="2:13" ht="18.75" customHeight="1" x14ac:dyDescent="0.25">
      <c r="B12" s="163" t="s">
        <v>64</v>
      </c>
      <c r="C12" s="164" t="s">
        <v>27</v>
      </c>
      <c r="D12" s="165">
        <f>INDEX('Referenčne količine'!$B$9:$M$12,MATCH(B12,('Referenčne količine'!$B$9:$B$12),0),MATCH($D$6,'Referenčne količine'!$B$5:$M$5,0))</f>
        <v>0</v>
      </c>
      <c r="J12"/>
      <c r="K12"/>
      <c r="L12"/>
      <c r="M12"/>
    </row>
    <row r="13" spans="2:13" ht="18.75" customHeight="1" x14ac:dyDescent="0.25">
      <c r="B13" s="163" t="s">
        <v>65</v>
      </c>
      <c r="C13" s="164" t="s">
        <v>61</v>
      </c>
      <c r="D13" s="165">
        <f>INDEX('Referenčne količine'!$B$9:$M$12,MATCH(B13,('Referenčne količine'!$B$9:$B$12),0),MATCH($D$6,'Referenčne količine'!$B$5:$M$5,0))</f>
        <v>0</v>
      </c>
      <c r="J13"/>
      <c r="K13"/>
      <c r="L13"/>
      <c r="M13"/>
    </row>
    <row r="14" spans="2:13" ht="18.75" customHeight="1" thickBot="1" x14ac:dyDescent="0.3">
      <c r="B14" s="166" t="s">
        <v>145</v>
      </c>
      <c r="C14" s="167" t="s">
        <v>27</v>
      </c>
      <c r="D14" s="153"/>
      <c r="J14"/>
      <c r="K14"/>
      <c r="L14"/>
      <c r="M14"/>
    </row>
    <row r="15" spans="2:13" ht="18.75" customHeight="1" x14ac:dyDescent="0.25">
      <c r="B15" s="168" t="s">
        <v>77</v>
      </c>
      <c r="C15" s="169"/>
      <c r="D15" s="170"/>
      <c r="J15"/>
      <c r="K15"/>
      <c r="L15"/>
      <c r="M15"/>
    </row>
    <row r="16" spans="2:13" ht="18.75" customHeight="1" x14ac:dyDescent="0.25">
      <c r="B16" s="171" t="s">
        <v>140</v>
      </c>
      <c r="C16" s="172" t="s">
        <v>141</v>
      </c>
      <c r="D16" s="28">
        <f>IFERROR(VLOOKUP(D$6,'Osnovni podatki'!$B$6:$I$41,7,FALSE),"")</f>
        <v>29.04</v>
      </c>
      <c r="J16"/>
      <c r="K16"/>
      <c r="L16"/>
      <c r="M16"/>
    </row>
    <row r="17" spans="2:13" ht="18.75" customHeight="1" x14ac:dyDescent="0.25">
      <c r="B17" s="171" t="s">
        <v>77</v>
      </c>
      <c r="C17" s="172" t="s">
        <v>28</v>
      </c>
      <c r="D17" s="78"/>
      <c r="G17" s="173"/>
      <c r="J17"/>
      <c r="K17"/>
      <c r="L17"/>
      <c r="M17"/>
    </row>
    <row r="18" spans="2:13" ht="18.75" customHeight="1" x14ac:dyDescent="0.25">
      <c r="B18" s="171" t="s">
        <v>79</v>
      </c>
      <c r="C18" s="172" t="s">
        <v>28</v>
      </c>
      <c r="D18" s="79">
        <f>D16*358</f>
        <v>10396.32</v>
      </c>
      <c r="J18"/>
      <c r="K18"/>
      <c r="L18"/>
      <c r="M18"/>
    </row>
    <row r="19" spans="2:13" ht="18.75" customHeight="1" x14ac:dyDescent="0.25">
      <c r="B19" s="174" t="s">
        <v>147</v>
      </c>
      <c r="C19" s="175" t="s">
        <v>146</v>
      </c>
      <c r="D19" s="91"/>
      <c r="J19"/>
      <c r="K19"/>
      <c r="L19"/>
      <c r="M19"/>
    </row>
    <row r="20" spans="2:13" ht="18.75" customHeight="1" x14ac:dyDescent="0.25">
      <c r="B20" s="174" t="s">
        <v>200</v>
      </c>
      <c r="C20" s="175" t="s">
        <v>28</v>
      </c>
      <c r="D20" s="176">
        <f>D17-D18-D21</f>
        <v>-10396.32</v>
      </c>
      <c r="J20"/>
      <c r="K20"/>
      <c r="L20"/>
      <c r="M20"/>
    </row>
    <row r="21" spans="2:13" ht="18.75" customHeight="1" thickBot="1" x14ac:dyDescent="0.3">
      <c r="B21" s="174" t="s">
        <v>202</v>
      </c>
      <c r="C21" s="175" t="s">
        <v>28</v>
      </c>
      <c r="D21" s="165">
        <f>D17*D19</f>
        <v>0</v>
      </c>
      <c r="J21"/>
      <c r="K21"/>
      <c r="L21"/>
      <c r="M21"/>
    </row>
    <row r="22" spans="2:13" ht="18.75" customHeight="1" x14ac:dyDescent="0.25">
      <c r="B22" s="177" t="s">
        <v>66</v>
      </c>
      <c r="C22" s="178"/>
      <c r="D22" s="179"/>
      <c r="J22"/>
      <c r="K22"/>
      <c r="L22"/>
      <c r="M22"/>
    </row>
    <row r="23" spans="2:13" ht="18.75" customHeight="1" x14ac:dyDescent="0.25">
      <c r="B23" s="180" t="s">
        <v>67</v>
      </c>
      <c r="C23" s="181" t="s">
        <v>60</v>
      </c>
      <c r="D23" s="85"/>
      <c r="J23"/>
      <c r="K23"/>
      <c r="L23"/>
      <c r="M23"/>
    </row>
    <row r="24" spans="2:13" ht="18.75" customHeight="1" x14ac:dyDescent="0.25">
      <c r="B24" s="182" t="s">
        <v>137</v>
      </c>
      <c r="C24" s="183" t="s">
        <v>60</v>
      </c>
      <c r="D24" s="80"/>
      <c r="J24"/>
      <c r="K24"/>
      <c r="L24"/>
      <c r="M24"/>
    </row>
    <row r="25" spans="2:13" ht="18.75" customHeight="1" x14ac:dyDescent="0.25">
      <c r="B25" s="182" t="s">
        <v>138</v>
      </c>
      <c r="C25" s="183" t="s">
        <v>60</v>
      </c>
      <c r="D25" s="80"/>
      <c r="J25"/>
      <c r="K25"/>
      <c r="L25"/>
      <c r="M25"/>
    </row>
    <row r="26" spans="2:13" ht="18.75" customHeight="1" thickBot="1" x14ac:dyDescent="0.3">
      <c r="B26" s="184" t="s">
        <v>198</v>
      </c>
      <c r="C26" s="185" t="s">
        <v>60</v>
      </c>
      <c r="D26" s="186">
        <f>D10-D24</f>
        <v>29.1</v>
      </c>
      <c r="J26"/>
      <c r="K26"/>
      <c r="L26"/>
      <c r="M26"/>
    </row>
    <row r="27" spans="2:13" ht="18.75" customHeight="1" x14ac:dyDescent="0.25">
      <c r="B27" s="187" t="s">
        <v>29</v>
      </c>
      <c r="C27" s="188"/>
      <c r="D27" s="189"/>
      <c r="J27"/>
      <c r="K27"/>
      <c r="L27"/>
      <c r="M27"/>
    </row>
    <row r="28" spans="2:13" ht="18.75" customHeight="1" x14ac:dyDescent="0.25">
      <c r="B28" s="190" t="s">
        <v>216</v>
      </c>
      <c r="C28" s="191" t="s">
        <v>197</v>
      </c>
      <c r="D28" s="84"/>
      <c r="J28"/>
      <c r="K28"/>
      <c r="L28"/>
      <c r="M28"/>
    </row>
    <row r="29" spans="2:13" ht="18.75" customHeight="1" thickBot="1" x14ac:dyDescent="0.3">
      <c r="B29" s="192" t="s">
        <v>76</v>
      </c>
      <c r="C29" s="193" t="s">
        <v>61</v>
      </c>
      <c r="D29" s="194">
        <f>D16*D28</f>
        <v>0</v>
      </c>
      <c r="J29"/>
      <c r="K29"/>
      <c r="L29"/>
      <c r="M29"/>
    </row>
    <row r="30" spans="2:13" ht="18.75" customHeight="1" x14ac:dyDescent="0.25">
      <c r="B30" s="195" t="s">
        <v>199</v>
      </c>
      <c r="C30" s="196"/>
      <c r="D30" s="197"/>
      <c r="J30"/>
      <c r="K30"/>
      <c r="L30"/>
      <c r="M30"/>
    </row>
    <row r="31" spans="2:13" ht="18.75" customHeight="1" thickBot="1" x14ac:dyDescent="0.3">
      <c r="B31" s="198" t="s">
        <v>143</v>
      </c>
      <c r="C31" s="199" t="s">
        <v>27</v>
      </c>
      <c r="D31" s="83"/>
      <c r="J31"/>
      <c r="K31"/>
      <c r="L31"/>
      <c r="M31"/>
    </row>
    <row r="32" spans="2:13" ht="18.75" customHeight="1" x14ac:dyDescent="0.2">
      <c r="B32" s="200" t="s">
        <v>203</v>
      </c>
      <c r="C32" s="201"/>
      <c r="D32" s="202"/>
    </row>
    <row r="33" spans="2:6" ht="18.75" customHeight="1" x14ac:dyDescent="0.2">
      <c r="B33" s="203" t="s">
        <v>30</v>
      </c>
      <c r="C33" s="204" t="s">
        <v>61</v>
      </c>
      <c r="D33" s="165">
        <f>D13</f>
        <v>0</v>
      </c>
      <c r="E33" s="154"/>
    </row>
    <row r="34" spans="2:6" ht="18.75" customHeight="1" thickBot="1" x14ac:dyDescent="0.25">
      <c r="B34" s="205" t="s">
        <v>144</v>
      </c>
      <c r="C34" s="206" t="s">
        <v>61</v>
      </c>
      <c r="D34" s="194">
        <f>D10*D31</f>
        <v>0</v>
      </c>
    </row>
    <row r="35" spans="2:6" ht="18.75" customHeight="1" x14ac:dyDescent="0.2">
      <c r="B35" s="207" t="s">
        <v>204</v>
      </c>
      <c r="C35" s="208"/>
      <c r="D35" s="209"/>
    </row>
    <row r="36" spans="2:6" ht="18.75" customHeight="1" x14ac:dyDescent="0.2">
      <c r="B36" s="210" t="s">
        <v>205</v>
      </c>
      <c r="C36" s="211" t="s">
        <v>60</v>
      </c>
      <c r="D36" s="165">
        <f>D23*D11</f>
        <v>0</v>
      </c>
    </row>
    <row r="37" spans="2:6" ht="18.75" customHeight="1" x14ac:dyDescent="0.2">
      <c r="B37" s="210" t="s">
        <v>206</v>
      </c>
      <c r="C37" s="211" t="s">
        <v>146</v>
      </c>
      <c r="D37" s="212" t="e">
        <f>D24/D23</f>
        <v>#DIV/0!</v>
      </c>
    </row>
    <row r="38" spans="2:6" ht="18.75" customHeight="1" x14ac:dyDescent="0.2">
      <c r="B38" s="210" t="s">
        <v>70</v>
      </c>
      <c r="C38" s="211" t="s">
        <v>27</v>
      </c>
      <c r="D38" s="165">
        <f>D31</f>
        <v>0</v>
      </c>
    </row>
    <row r="39" spans="2:6" ht="18.75" customHeight="1" x14ac:dyDescent="0.2">
      <c r="B39" s="210" t="s">
        <v>207</v>
      </c>
      <c r="C39" s="211" t="s">
        <v>208</v>
      </c>
      <c r="D39" s="213">
        <f>J60</f>
        <v>10</v>
      </c>
    </row>
    <row r="40" spans="2:6" ht="18.75" customHeight="1" thickBot="1" x14ac:dyDescent="0.25">
      <c r="B40" s="214" t="s">
        <v>210</v>
      </c>
      <c r="C40" s="215" t="s">
        <v>28</v>
      </c>
      <c r="D40" s="194">
        <f>D20</f>
        <v>-10396.32</v>
      </c>
      <c r="F40" s="154"/>
    </row>
    <row r="41" spans="2:6" ht="14.1" customHeight="1" x14ac:dyDescent="0.2">
      <c r="F41" s="154"/>
    </row>
    <row r="42" spans="2:6" ht="14.1" customHeight="1" x14ac:dyDescent="0.2">
      <c r="B42" s="216"/>
      <c r="F42" s="154"/>
    </row>
    <row r="43" spans="2:6" ht="14.1" customHeight="1" x14ac:dyDescent="0.2">
      <c r="B43" s="216" t="s">
        <v>209</v>
      </c>
    </row>
    <row r="44" spans="2:6" ht="14.1" customHeight="1" x14ac:dyDescent="0.2">
      <c r="B44" s="27" t="s">
        <v>211</v>
      </c>
    </row>
    <row r="45" spans="2:6" ht="14.1" customHeight="1" x14ac:dyDescent="0.2">
      <c r="B45" s="27" t="s">
        <v>212</v>
      </c>
    </row>
    <row r="46" spans="2:6" ht="14.1" customHeight="1" x14ac:dyDescent="0.2">
      <c r="B46" s="27" t="s">
        <v>213</v>
      </c>
    </row>
    <row r="47" spans="2:6" ht="14.1" customHeight="1" x14ac:dyDescent="0.2">
      <c r="B47" s="27" t="s">
        <v>214</v>
      </c>
    </row>
    <row r="48" spans="2:6" ht="14.1" customHeight="1" x14ac:dyDescent="0.2"/>
    <row r="49" spans="1:25" ht="14.1" customHeight="1" x14ac:dyDescent="0.2"/>
    <row r="50" spans="1:25" ht="14.1" customHeight="1" x14ac:dyDescent="0.2"/>
    <row r="51" spans="1:25" ht="14.1" customHeight="1" x14ac:dyDescent="0.2">
      <c r="N51" s="10"/>
      <c r="O51" s="10"/>
      <c r="P51" s="10"/>
    </row>
    <row r="52" spans="1:25" ht="14.1" customHeight="1" x14ac:dyDescent="0.2">
      <c r="N52" s="10"/>
      <c r="O52" s="10"/>
      <c r="P52" s="10"/>
    </row>
    <row r="53" spans="1:25" ht="17.100000000000001" customHeight="1" thickBot="1" x14ac:dyDescent="0.25">
      <c r="B53" s="55"/>
      <c r="N53" s="10"/>
      <c r="O53" s="10"/>
      <c r="P53" s="10"/>
    </row>
    <row r="54" spans="1:25" ht="17.100000000000001" customHeight="1" x14ac:dyDescent="0.2">
      <c r="B54" s="217" t="s">
        <v>43</v>
      </c>
      <c r="C54" s="218"/>
      <c r="D54" s="218"/>
      <c r="E54" s="219" t="s">
        <v>217</v>
      </c>
      <c r="F54" s="219" t="s">
        <v>201</v>
      </c>
      <c r="G54" s="220" t="s">
        <v>24</v>
      </c>
      <c r="N54" s="221"/>
      <c r="O54" s="221"/>
      <c r="P54" s="10"/>
      <c r="Y54" s="222"/>
    </row>
    <row r="55" spans="1:25" ht="17.100000000000001" customHeight="1" x14ac:dyDescent="0.25">
      <c r="A55"/>
      <c r="B55" s="223" t="s">
        <v>78</v>
      </c>
      <c r="C55" s="224"/>
      <c r="D55" s="225" t="s">
        <v>61</v>
      </c>
      <c r="E55" s="92">
        <f>D24*D12+D25*D14-D29</f>
        <v>0</v>
      </c>
      <c r="F55" s="92">
        <f>D33-D34</f>
        <v>0</v>
      </c>
      <c r="G55" s="56">
        <f>D31*D10-(D26*D12-D25*D14)-D16*D28</f>
        <v>0</v>
      </c>
      <c r="H55" s="154"/>
      <c r="N55" s="221"/>
      <c r="O55" s="221"/>
      <c r="P55" s="10"/>
      <c r="Y55" s="222"/>
    </row>
    <row r="56" spans="1:25" ht="14.1" customHeight="1" x14ac:dyDescent="0.25">
      <c r="A56"/>
      <c r="B56" s="226" t="s">
        <v>44</v>
      </c>
      <c r="C56" s="227"/>
      <c r="D56" s="225" t="s">
        <v>28</v>
      </c>
      <c r="E56" s="92">
        <f>D78</f>
        <v>0</v>
      </c>
      <c r="F56" s="92" t="e">
        <f>F55/E55*E56</f>
        <v>#DIV/0!</v>
      </c>
      <c r="G56" s="56" t="e">
        <f>G55/E55*E56</f>
        <v>#DIV/0!</v>
      </c>
      <c r="H56" s="154"/>
      <c r="N56" s="221"/>
      <c r="O56" s="221"/>
      <c r="P56" s="10"/>
      <c r="Y56" s="222"/>
    </row>
    <row r="57" spans="1:25" ht="17.100000000000001" customHeight="1" x14ac:dyDescent="0.25">
      <c r="A57"/>
      <c r="B57" s="226" t="s">
        <v>45</v>
      </c>
      <c r="C57" s="227"/>
      <c r="D57" s="225" t="s">
        <v>28</v>
      </c>
      <c r="E57" s="92">
        <f>M91</f>
        <v>0</v>
      </c>
      <c r="F57" s="92" t="e">
        <f>F55/E55*E57</f>
        <v>#DIV/0!</v>
      </c>
      <c r="G57" s="56" t="e">
        <f>G55/E55*E57</f>
        <v>#DIV/0!</v>
      </c>
      <c r="H57" s="154"/>
      <c r="N57" s="221"/>
      <c r="O57" s="221"/>
      <c r="P57" s="10"/>
      <c r="Y57" s="222"/>
    </row>
    <row r="58" spans="1:25" ht="17.100000000000001" customHeight="1" thickBot="1" x14ac:dyDescent="0.3">
      <c r="A58"/>
      <c r="B58" s="228" t="s">
        <v>80</v>
      </c>
      <c r="C58" s="229"/>
      <c r="D58" s="230" t="s">
        <v>28</v>
      </c>
      <c r="E58" s="93">
        <f>D17-D18</f>
        <v>-10396.32</v>
      </c>
      <c r="F58" s="93">
        <f>D20</f>
        <v>-10396.32</v>
      </c>
      <c r="G58" s="94">
        <f>D21</f>
        <v>0</v>
      </c>
      <c r="H58" s="154"/>
      <c r="N58" s="221"/>
      <c r="O58" s="221"/>
      <c r="P58" s="10"/>
      <c r="Y58" s="222"/>
    </row>
    <row r="59" spans="1:25" ht="30.75" thickBot="1" x14ac:dyDescent="0.3">
      <c r="A59"/>
      <c r="B59"/>
      <c r="C59"/>
      <c r="D59"/>
      <c r="E59"/>
      <c r="J59" s="231" t="s">
        <v>41</v>
      </c>
      <c r="K59" s="24" t="s">
        <v>42</v>
      </c>
      <c r="L59" s="25"/>
      <c r="M59" s="26"/>
      <c r="N59" s="221"/>
      <c r="O59" s="221"/>
      <c r="P59" s="10"/>
      <c r="Y59" s="222"/>
    </row>
    <row r="60" spans="1:25" ht="17.100000000000001" customHeight="1" thickBot="1" x14ac:dyDescent="0.3">
      <c r="A60"/>
      <c r="B60" s="55" t="s">
        <v>34</v>
      </c>
      <c r="E60"/>
      <c r="J60" s="54">
        <f>'IS01'!J60</f>
        <v>10</v>
      </c>
      <c r="K60" s="21" t="s">
        <v>36</v>
      </c>
      <c r="L60" s="22" t="s">
        <v>37</v>
      </c>
      <c r="M60" s="23" t="s">
        <v>38</v>
      </c>
      <c r="N60" s="10"/>
      <c r="O60" s="10"/>
      <c r="P60" s="10"/>
      <c r="Y60" s="216"/>
    </row>
    <row r="61" spans="1:25" ht="15.75" customHeight="1" x14ac:dyDescent="0.25">
      <c r="A61"/>
      <c r="B61" s="13" t="s">
        <v>35</v>
      </c>
      <c r="C61" s="14"/>
      <c r="D61" s="15"/>
      <c r="E61"/>
      <c r="K61" s="232">
        <f>IF($J$60&gt;0, 1, "")</f>
        <v>1</v>
      </c>
      <c r="L61" s="233">
        <f t="shared" ref="L61:L90" si="0">IF($J$60&gt;=K61,$E$55, "")</f>
        <v>0</v>
      </c>
      <c r="M61" s="57">
        <f t="shared" ref="M61:M90" si="1">IF($J$60&gt;=K61,L61/((1+$M$93)^K61), "0")</f>
        <v>0</v>
      </c>
      <c r="N61" s="10"/>
      <c r="O61" s="10"/>
      <c r="P61" s="10"/>
      <c r="Y61" s="216"/>
    </row>
    <row r="62" spans="1:25" ht="15.75" customHeight="1" x14ac:dyDescent="0.25">
      <c r="A62"/>
      <c r="B62" s="2" t="s">
        <v>36</v>
      </c>
      <c r="C62" s="3" t="s">
        <v>37</v>
      </c>
      <c r="D62" s="4" t="s">
        <v>38</v>
      </c>
      <c r="E62"/>
      <c r="K62" s="234">
        <f>IF($J$60&gt;K61, 2, "")</f>
        <v>2</v>
      </c>
      <c r="L62" s="235">
        <f t="shared" si="0"/>
        <v>0</v>
      </c>
      <c r="M62" s="58">
        <f t="shared" si="1"/>
        <v>0</v>
      </c>
      <c r="N62" s="10"/>
      <c r="O62" s="10"/>
      <c r="P62" s="10"/>
      <c r="Y62" s="216"/>
    </row>
    <row r="63" spans="1:25" ht="15.75" customHeight="1" x14ac:dyDescent="0.25">
      <c r="A63"/>
      <c r="B63" s="31">
        <v>1</v>
      </c>
      <c r="C63" s="47">
        <f t="shared" ref="C63:C77" si="2">$E$55</f>
        <v>0</v>
      </c>
      <c r="D63" s="48">
        <f t="shared" ref="D63:D77" si="3">C63/((1+$D$80)^B63)</f>
        <v>0</v>
      </c>
      <c r="E63" s="162"/>
      <c r="K63" s="234">
        <f>IF($J$60&gt;K62,3, "")</f>
        <v>3</v>
      </c>
      <c r="L63" s="235">
        <f t="shared" si="0"/>
        <v>0</v>
      </c>
      <c r="M63" s="58">
        <f t="shared" si="1"/>
        <v>0</v>
      </c>
      <c r="N63" s="236"/>
      <c r="O63" s="236"/>
      <c r="P63" s="10"/>
      <c r="Y63" s="237"/>
    </row>
    <row r="64" spans="1:25" ht="15.75" customHeight="1" x14ac:dyDescent="0.2">
      <c r="B64" s="31">
        <v>2</v>
      </c>
      <c r="C64" s="47">
        <f t="shared" si="2"/>
        <v>0</v>
      </c>
      <c r="D64" s="48">
        <f t="shared" si="3"/>
        <v>0</v>
      </c>
      <c r="E64" s="247"/>
      <c r="K64" s="234">
        <f>IF($J$60&gt;K63, 4, "")</f>
        <v>4</v>
      </c>
      <c r="L64" s="235">
        <f t="shared" si="0"/>
        <v>0</v>
      </c>
      <c r="M64" s="58">
        <f t="shared" si="1"/>
        <v>0</v>
      </c>
      <c r="N64" s="10"/>
      <c r="O64" s="10"/>
      <c r="P64" s="10"/>
    </row>
    <row r="65" spans="2:19" ht="15.75" customHeight="1" x14ac:dyDescent="0.2">
      <c r="B65" s="31">
        <v>3</v>
      </c>
      <c r="C65" s="47">
        <f t="shared" si="2"/>
        <v>0</v>
      </c>
      <c r="D65" s="48">
        <f t="shared" si="3"/>
        <v>0</v>
      </c>
      <c r="E65" s="247"/>
      <c r="K65" s="234">
        <f>IF($J$60&gt;K64, 5, "")</f>
        <v>5</v>
      </c>
      <c r="L65" s="235">
        <f t="shared" si="0"/>
        <v>0</v>
      </c>
      <c r="M65" s="58">
        <f t="shared" si="1"/>
        <v>0</v>
      </c>
      <c r="N65" s="351"/>
      <c r="O65" s="351"/>
      <c r="P65" s="351"/>
    </row>
    <row r="66" spans="2:19" ht="15.75" customHeight="1" x14ac:dyDescent="0.2">
      <c r="B66" s="31">
        <v>4</v>
      </c>
      <c r="C66" s="47">
        <f t="shared" si="2"/>
        <v>0</v>
      </c>
      <c r="D66" s="48">
        <f t="shared" si="3"/>
        <v>0</v>
      </c>
      <c r="E66" s="247"/>
      <c r="G66" s="59"/>
      <c r="K66" s="234">
        <f>IF($J$60&gt;K65, 6, "")</f>
        <v>6</v>
      </c>
      <c r="L66" s="235">
        <f t="shared" si="0"/>
        <v>0</v>
      </c>
      <c r="M66" s="58">
        <f t="shared" si="1"/>
        <v>0</v>
      </c>
      <c r="N66" s="10"/>
      <c r="O66" s="10"/>
      <c r="P66" s="10"/>
    </row>
    <row r="67" spans="2:19" ht="15.75" customHeight="1" x14ac:dyDescent="0.2">
      <c r="B67" s="31">
        <v>5</v>
      </c>
      <c r="C67" s="47">
        <f t="shared" si="2"/>
        <v>0</v>
      </c>
      <c r="D67" s="48">
        <f t="shared" si="3"/>
        <v>0</v>
      </c>
      <c r="E67" s="247"/>
      <c r="I67" s="10"/>
      <c r="K67" s="234">
        <f>IF($J$60&gt;K66, 7, "")</f>
        <v>7</v>
      </c>
      <c r="L67" s="235">
        <f t="shared" si="0"/>
        <v>0</v>
      </c>
      <c r="M67" s="58">
        <f t="shared" si="1"/>
        <v>0</v>
      </c>
      <c r="N67" s="10"/>
      <c r="O67" s="10"/>
      <c r="P67" s="10"/>
    </row>
    <row r="68" spans="2:19" ht="15.75" customHeight="1" x14ac:dyDescent="0.2">
      <c r="B68" s="31">
        <v>6</v>
      </c>
      <c r="C68" s="47">
        <f t="shared" si="2"/>
        <v>0</v>
      </c>
      <c r="D68" s="48">
        <f t="shared" si="3"/>
        <v>0</v>
      </c>
      <c r="E68" s="247"/>
      <c r="I68" s="10"/>
      <c r="K68" s="234">
        <f>IF($J$60&gt;K67, 8, "")</f>
        <v>8</v>
      </c>
      <c r="L68" s="235">
        <f t="shared" si="0"/>
        <v>0</v>
      </c>
      <c r="M68" s="58">
        <f t="shared" si="1"/>
        <v>0</v>
      </c>
      <c r="N68" s="10"/>
      <c r="O68" s="10"/>
      <c r="P68" s="10"/>
      <c r="Q68" s="10"/>
      <c r="R68" s="10"/>
      <c r="S68" s="10"/>
    </row>
    <row r="69" spans="2:19" ht="15.75" customHeight="1" x14ac:dyDescent="0.2">
      <c r="B69" s="31">
        <v>7</v>
      </c>
      <c r="C69" s="47">
        <f t="shared" si="2"/>
        <v>0</v>
      </c>
      <c r="D69" s="48">
        <f t="shared" si="3"/>
        <v>0</v>
      </c>
      <c r="E69" s="247"/>
      <c r="K69" s="234">
        <f>IF($J$60&gt;K68, 9, "")</f>
        <v>9</v>
      </c>
      <c r="L69" s="235">
        <f t="shared" si="0"/>
        <v>0</v>
      </c>
      <c r="M69" s="58">
        <f t="shared" si="1"/>
        <v>0</v>
      </c>
      <c r="N69" s="10"/>
      <c r="O69" s="10"/>
      <c r="P69" s="10"/>
      <c r="Q69" s="10"/>
      <c r="R69" s="10"/>
      <c r="S69" s="10"/>
    </row>
    <row r="70" spans="2:19" ht="15.75" customHeight="1" x14ac:dyDescent="0.2">
      <c r="B70" s="31">
        <v>8</v>
      </c>
      <c r="C70" s="47">
        <f t="shared" si="2"/>
        <v>0</v>
      </c>
      <c r="D70" s="48">
        <f t="shared" si="3"/>
        <v>0</v>
      </c>
      <c r="E70" s="247"/>
      <c r="K70" s="234">
        <f>IF($J$60&gt;K69, 10, "")</f>
        <v>10</v>
      </c>
      <c r="L70" s="235">
        <f t="shared" si="0"/>
        <v>0</v>
      </c>
      <c r="M70" s="58">
        <f t="shared" si="1"/>
        <v>0</v>
      </c>
      <c r="N70" s="10"/>
      <c r="O70" s="10"/>
      <c r="P70" s="10"/>
    </row>
    <row r="71" spans="2:19" ht="15.75" customHeight="1" x14ac:dyDescent="0.2">
      <c r="B71" s="31">
        <v>9</v>
      </c>
      <c r="C71" s="47">
        <f t="shared" si="2"/>
        <v>0</v>
      </c>
      <c r="D71" s="48">
        <f t="shared" si="3"/>
        <v>0</v>
      </c>
      <c r="E71" s="247"/>
      <c r="K71" s="234" t="str">
        <f>IF($J$60&gt;K70, 11, "")</f>
        <v/>
      </c>
      <c r="L71" s="235" t="str">
        <f t="shared" si="0"/>
        <v/>
      </c>
      <c r="M71" s="58" t="str">
        <f t="shared" si="1"/>
        <v>0</v>
      </c>
      <c r="N71" s="10"/>
      <c r="O71" s="10"/>
      <c r="P71" s="10"/>
    </row>
    <row r="72" spans="2:19" ht="15.75" customHeight="1" x14ac:dyDescent="0.2">
      <c r="B72" s="31">
        <v>10</v>
      </c>
      <c r="C72" s="47">
        <f t="shared" si="2"/>
        <v>0</v>
      </c>
      <c r="D72" s="48">
        <f t="shared" si="3"/>
        <v>0</v>
      </c>
      <c r="E72" s="247"/>
      <c r="K72" s="234" t="str">
        <f>IF($J$60&gt;K71, 12, "")</f>
        <v/>
      </c>
      <c r="L72" s="235" t="str">
        <f t="shared" si="0"/>
        <v/>
      </c>
      <c r="M72" s="58" t="str">
        <f t="shared" si="1"/>
        <v>0</v>
      </c>
      <c r="N72" s="10"/>
      <c r="O72" s="10"/>
      <c r="P72" s="10"/>
    </row>
    <row r="73" spans="2:19" ht="15.75" customHeight="1" x14ac:dyDescent="0.2">
      <c r="B73" s="31">
        <v>11</v>
      </c>
      <c r="C73" s="47">
        <f t="shared" si="2"/>
        <v>0</v>
      </c>
      <c r="D73" s="48">
        <f t="shared" si="3"/>
        <v>0</v>
      </c>
      <c r="E73" s="247"/>
      <c r="K73" s="234" t="str">
        <f>IF($J$60&gt;K72, 13, "")</f>
        <v/>
      </c>
      <c r="L73" s="235" t="str">
        <f t="shared" si="0"/>
        <v/>
      </c>
      <c r="M73" s="58" t="str">
        <f t="shared" si="1"/>
        <v>0</v>
      </c>
      <c r="N73" s="10"/>
      <c r="O73" s="10"/>
      <c r="P73" s="10"/>
    </row>
    <row r="74" spans="2:19" ht="15.75" customHeight="1" x14ac:dyDescent="0.2">
      <c r="B74" s="31">
        <v>12</v>
      </c>
      <c r="C74" s="47">
        <f t="shared" si="2"/>
        <v>0</v>
      </c>
      <c r="D74" s="48">
        <f t="shared" si="3"/>
        <v>0</v>
      </c>
      <c r="E74" s="247"/>
      <c r="K74" s="234" t="str">
        <f>IF($J$60&gt;K73, 14, "")</f>
        <v/>
      </c>
      <c r="L74" s="235" t="str">
        <f t="shared" si="0"/>
        <v/>
      </c>
      <c r="M74" s="58" t="str">
        <f t="shared" si="1"/>
        <v>0</v>
      </c>
      <c r="N74" s="10"/>
      <c r="O74" s="10"/>
      <c r="P74" s="10"/>
    </row>
    <row r="75" spans="2:19" ht="15.75" customHeight="1" x14ac:dyDescent="0.2">
      <c r="B75" s="31">
        <v>13</v>
      </c>
      <c r="C75" s="47">
        <f t="shared" si="2"/>
        <v>0</v>
      </c>
      <c r="D75" s="48">
        <f t="shared" si="3"/>
        <v>0</v>
      </c>
      <c r="E75" s="247"/>
      <c r="K75" s="234" t="str">
        <f>IF($J$60&gt;K74, 15, "")</f>
        <v/>
      </c>
      <c r="L75" s="235" t="str">
        <f t="shared" si="0"/>
        <v/>
      </c>
      <c r="M75" s="58" t="str">
        <f t="shared" si="1"/>
        <v>0</v>
      </c>
      <c r="N75" s="10"/>
      <c r="O75" s="10"/>
      <c r="P75" s="10"/>
    </row>
    <row r="76" spans="2:19" ht="15.75" customHeight="1" x14ac:dyDescent="0.25">
      <c r="B76" s="31">
        <v>14</v>
      </c>
      <c r="C76" s="47">
        <f t="shared" si="2"/>
        <v>0</v>
      </c>
      <c r="D76" s="48">
        <f t="shared" si="3"/>
        <v>0</v>
      </c>
      <c r="E76" s="247"/>
      <c r="G76"/>
      <c r="K76" s="234" t="str">
        <f>IF($J$60&gt;K75, 16, "")</f>
        <v/>
      </c>
      <c r="L76" s="235" t="str">
        <f t="shared" si="0"/>
        <v/>
      </c>
      <c r="M76" s="58" t="str">
        <f t="shared" si="1"/>
        <v>0</v>
      </c>
      <c r="N76" s="10"/>
      <c r="O76" s="10"/>
      <c r="P76" s="10"/>
    </row>
    <row r="77" spans="2:19" ht="15.75" customHeight="1" x14ac:dyDescent="0.25">
      <c r="B77" s="31">
        <v>15</v>
      </c>
      <c r="C77" s="47">
        <f t="shared" si="2"/>
        <v>0</v>
      </c>
      <c r="D77" s="48">
        <f t="shared" si="3"/>
        <v>0</v>
      </c>
      <c r="E77" s="247"/>
      <c r="G77"/>
      <c r="K77" s="234" t="str">
        <f>IF($J$60&gt;K76, 17, "")</f>
        <v/>
      </c>
      <c r="L77" s="235" t="str">
        <f t="shared" si="0"/>
        <v/>
      </c>
      <c r="M77" s="58" t="str">
        <f t="shared" si="1"/>
        <v>0</v>
      </c>
      <c r="N77" s="10"/>
      <c r="O77" s="10"/>
      <c r="P77" s="10"/>
    </row>
    <row r="78" spans="2:19" ht="15.75" customHeight="1" thickBot="1" x14ac:dyDescent="0.3">
      <c r="B78" s="12" t="s">
        <v>39</v>
      </c>
      <c r="C78" s="51">
        <f>SUM(C63:C77)</f>
        <v>0</v>
      </c>
      <c r="D78" s="52">
        <f>SUM(D63:D77)</f>
        <v>0</v>
      </c>
      <c r="E78" s="162"/>
      <c r="F78" s="238"/>
      <c r="G78" s="238"/>
      <c r="K78" s="234" t="str">
        <f>IF($J$60&gt;K77, 18, "")</f>
        <v/>
      </c>
      <c r="L78" s="235" t="str">
        <f t="shared" si="0"/>
        <v/>
      </c>
      <c r="M78" s="58" t="str">
        <f t="shared" si="1"/>
        <v>0</v>
      </c>
      <c r="N78" s="10"/>
      <c r="O78" s="10"/>
      <c r="P78" s="10"/>
    </row>
    <row r="79" spans="2:19" ht="15.75" customHeight="1" x14ac:dyDescent="0.25">
      <c r="B79" s="239"/>
      <c r="C79" s="240"/>
      <c r="D79" s="241"/>
      <c r="E79"/>
      <c r="F79"/>
      <c r="G79"/>
      <c r="K79" s="234" t="str">
        <f>IF($J$60&gt;K78, 19, "")</f>
        <v/>
      </c>
      <c r="L79" s="235" t="str">
        <f t="shared" si="0"/>
        <v/>
      </c>
      <c r="M79" s="58" t="str">
        <f t="shared" si="1"/>
        <v>0</v>
      </c>
      <c r="N79" s="10"/>
      <c r="O79" s="10"/>
      <c r="P79" s="10"/>
    </row>
    <row r="80" spans="2:19" ht="15.75" customHeight="1" thickBot="1" x14ac:dyDescent="0.3">
      <c r="B80" s="242" t="s">
        <v>40</v>
      </c>
      <c r="C80" s="243"/>
      <c r="D80" s="60">
        <v>0.04</v>
      </c>
      <c r="E80"/>
      <c r="F80"/>
      <c r="G80" s="238"/>
      <c r="K80" s="234" t="str">
        <f>IF($J$60&gt;K79, 20, "")</f>
        <v/>
      </c>
      <c r="L80" s="235" t="str">
        <f t="shared" si="0"/>
        <v/>
      </c>
      <c r="M80" s="58" t="str">
        <f t="shared" si="1"/>
        <v>0</v>
      </c>
      <c r="N80" s="10"/>
      <c r="O80" s="10"/>
      <c r="P80" s="10"/>
      <c r="Q80" s="10"/>
      <c r="R80" s="10"/>
      <c r="S80" s="10"/>
    </row>
    <row r="81" spans="1:19" ht="15.75" customHeight="1" x14ac:dyDescent="0.25">
      <c r="B81"/>
      <c r="C81"/>
      <c r="D81"/>
      <c r="E81"/>
      <c r="F81"/>
      <c r="G81"/>
      <c r="K81" s="234" t="str">
        <f>IF($J$60&gt;K80, 21, "")</f>
        <v/>
      </c>
      <c r="L81" s="235" t="str">
        <f t="shared" si="0"/>
        <v/>
      </c>
      <c r="M81" s="58" t="str">
        <f t="shared" si="1"/>
        <v>0</v>
      </c>
      <c r="N81" s="10"/>
      <c r="O81" s="10"/>
      <c r="P81" s="10"/>
      <c r="Q81" s="10"/>
      <c r="R81" s="10"/>
      <c r="S81" s="10"/>
    </row>
    <row r="82" spans="1:19" ht="15.75" customHeight="1" x14ac:dyDescent="0.25">
      <c r="B82"/>
      <c r="C82"/>
      <c r="D82"/>
      <c r="E82"/>
      <c r="F82"/>
      <c r="G82"/>
      <c r="K82" s="234" t="str">
        <f>IF($J$60&gt;K81, 22, "")</f>
        <v/>
      </c>
      <c r="L82" s="235" t="str">
        <f t="shared" si="0"/>
        <v/>
      </c>
      <c r="M82" s="58" t="str">
        <f t="shared" si="1"/>
        <v>0</v>
      </c>
      <c r="N82" s="10"/>
      <c r="O82" s="10"/>
      <c r="P82" s="10"/>
    </row>
    <row r="83" spans="1:19" ht="15.75" customHeight="1" x14ac:dyDescent="0.25">
      <c r="B83"/>
      <c r="C83"/>
      <c r="D83"/>
      <c r="E83"/>
      <c r="F83"/>
      <c r="G83"/>
      <c r="K83" s="234" t="str">
        <f>IF($J$60&gt;K82, 23, "")</f>
        <v/>
      </c>
      <c r="L83" s="235" t="str">
        <f t="shared" si="0"/>
        <v/>
      </c>
      <c r="M83" s="58" t="str">
        <f t="shared" si="1"/>
        <v>0</v>
      </c>
      <c r="N83" s="351"/>
      <c r="O83" s="351"/>
      <c r="P83" s="10"/>
    </row>
    <row r="84" spans="1:19" ht="15.75" customHeight="1" x14ac:dyDescent="0.25">
      <c r="B84"/>
      <c r="C84"/>
      <c r="D84"/>
      <c r="E84"/>
      <c r="F84"/>
      <c r="G84"/>
      <c r="K84" s="234" t="str">
        <f>IF($J$60&gt;K83, 24, "")</f>
        <v/>
      </c>
      <c r="L84" s="235" t="str">
        <f t="shared" si="0"/>
        <v/>
      </c>
      <c r="M84" s="58" t="str">
        <f t="shared" si="1"/>
        <v>0</v>
      </c>
      <c r="N84" s="351"/>
      <c r="O84" s="351"/>
      <c r="P84" s="351"/>
    </row>
    <row r="85" spans="1:19" ht="15.75" customHeight="1" x14ac:dyDescent="0.25">
      <c r="B85"/>
      <c r="C85"/>
      <c r="D85"/>
      <c r="E85"/>
      <c r="F85"/>
      <c r="G85"/>
      <c r="K85" s="234" t="str">
        <f>IF($J$60&gt;K84, 25, "")</f>
        <v/>
      </c>
      <c r="L85" s="235" t="str">
        <f t="shared" si="0"/>
        <v/>
      </c>
      <c r="M85" s="58" t="str">
        <f t="shared" si="1"/>
        <v>0</v>
      </c>
      <c r="N85" s="10"/>
      <c r="O85" s="10"/>
      <c r="P85" s="10"/>
    </row>
    <row r="86" spans="1:19" ht="15.75" customHeight="1" x14ac:dyDescent="0.25">
      <c r="B86"/>
      <c r="C86"/>
      <c r="D86"/>
      <c r="E86"/>
      <c r="F86"/>
      <c r="G86"/>
      <c r="K86" s="234" t="str">
        <f>IF($J$60&gt;K85, 26, "")</f>
        <v/>
      </c>
      <c r="L86" s="235" t="str">
        <f>IF($J$60&gt;=K86,$E$55, "")</f>
        <v/>
      </c>
      <c r="M86" s="58" t="str">
        <f t="shared" si="1"/>
        <v>0</v>
      </c>
      <c r="N86" s="10"/>
      <c r="O86" s="10"/>
      <c r="P86" s="10"/>
    </row>
    <row r="87" spans="1:19" ht="15.75" customHeight="1" x14ac:dyDescent="0.25">
      <c r="A87"/>
      <c r="B87"/>
      <c r="C87"/>
      <c r="D87"/>
      <c r="E87"/>
      <c r="F87"/>
      <c r="G87"/>
      <c r="K87" s="234" t="str">
        <f>IF($J$60&gt;K86, 27, "")</f>
        <v/>
      </c>
      <c r="L87" s="235" t="str">
        <f t="shared" si="0"/>
        <v/>
      </c>
      <c r="M87" s="58" t="str">
        <f t="shared" si="1"/>
        <v>0</v>
      </c>
    </row>
    <row r="88" spans="1:19" ht="15.75" customHeight="1" x14ac:dyDescent="0.25">
      <c r="A88"/>
      <c r="B88"/>
      <c r="C88"/>
      <c r="D88"/>
      <c r="E88"/>
      <c r="F88"/>
      <c r="K88" s="234" t="str">
        <f>IF($J$60&gt;K87, 28, "")</f>
        <v/>
      </c>
      <c r="L88" s="235" t="str">
        <f t="shared" si="0"/>
        <v/>
      </c>
      <c r="M88" s="58" t="str">
        <f t="shared" si="1"/>
        <v>0</v>
      </c>
    </row>
    <row r="89" spans="1:19" ht="15.75" customHeight="1" x14ac:dyDescent="0.25">
      <c r="A89"/>
      <c r="B89"/>
      <c r="C89"/>
      <c r="D89"/>
      <c r="E89"/>
      <c r="F89"/>
      <c r="K89" s="234" t="str">
        <f>IF($J$60&gt;K88, 29, "")</f>
        <v/>
      </c>
      <c r="L89" s="235" t="str">
        <f t="shared" si="0"/>
        <v/>
      </c>
      <c r="M89" s="58" t="str">
        <f t="shared" si="1"/>
        <v>0</v>
      </c>
    </row>
    <row r="90" spans="1:19" ht="15.75" customHeight="1" x14ac:dyDescent="0.25">
      <c r="A90"/>
      <c r="B90"/>
      <c r="C90"/>
      <c r="D90"/>
      <c r="E90"/>
      <c r="F90"/>
      <c r="K90" s="234" t="str">
        <f>IF($J$60&gt;K89, 30, "")</f>
        <v/>
      </c>
      <c r="L90" s="235" t="str">
        <f t="shared" si="0"/>
        <v/>
      </c>
      <c r="M90" s="58" t="str">
        <f t="shared" si="1"/>
        <v>0</v>
      </c>
    </row>
    <row r="91" spans="1:19" ht="15.75" customHeight="1" x14ac:dyDescent="0.25">
      <c r="A91"/>
      <c r="B91"/>
      <c r="C91"/>
      <c r="D91"/>
      <c r="E91"/>
      <c r="F91"/>
      <c r="K91" s="2" t="s">
        <v>39</v>
      </c>
      <c r="L91" s="49">
        <f>SUM(L61:L90)</f>
        <v>0</v>
      </c>
      <c r="M91" s="50">
        <f>SUM(M61:M80)</f>
        <v>0</v>
      </c>
    </row>
    <row r="92" spans="1:19" ht="15.75" customHeight="1" x14ac:dyDescent="0.25">
      <c r="A92"/>
      <c r="B92"/>
      <c r="C92"/>
      <c r="D92"/>
      <c r="E92"/>
      <c r="F92"/>
      <c r="K92" s="245"/>
      <c r="L92" s="246"/>
      <c r="M92" s="28"/>
    </row>
    <row r="93" spans="1:19" ht="15.75" customHeight="1" thickBot="1" x14ac:dyDescent="0.3">
      <c r="A93"/>
      <c r="B93"/>
      <c r="C93"/>
      <c r="D93"/>
      <c r="E93"/>
      <c r="F93"/>
      <c r="K93" s="242" t="s">
        <v>40</v>
      </c>
      <c r="L93" s="243"/>
      <c r="M93" s="60">
        <v>0.04</v>
      </c>
    </row>
    <row r="94" spans="1:19" ht="15" x14ac:dyDescent="0.25">
      <c r="A94"/>
      <c r="B94"/>
      <c r="C94"/>
      <c r="D94"/>
      <c r="E94"/>
      <c r="F94"/>
    </row>
    <row r="95" spans="1:19" ht="14.1" customHeight="1" x14ac:dyDescent="0.2"/>
    <row r="96" spans="1:19" ht="14.1" customHeight="1" x14ac:dyDescent="0.2"/>
    <row r="97" s="27" customFormat="1" ht="14.1" customHeight="1" x14ac:dyDescent="0.2"/>
    <row r="98" s="27" customFormat="1" ht="14.1" customHeight="1" x14ac:dyDescent="0.2"/>
    <row r="99" s="27" customFormat="1" ht="14.1" customHeight="1" x14ac:dyDescent="0.2"/>
    <row r="100" s="27" customFormat="1" ht="14.1" customHeight="1" x14ac:dyDescent="0.2"/>
    <row r="101" s="27" customFormat="1" ht="14.1" customHeight="1" x14ac:dyDescent="0.2"/>
    <row r="102" s="27" customFormat="1" ht="14.1" customHeight="1" x14ac:dyDescent="0.2"/>
    <row r="103" s="27" customFormat="1" ht="14.1" customHeight="1" x14ac:dyDescent="0.2"/>
    <row r="104" s="27" customFormat="1" ht="14.1" customHeight="1" x14ac:dyDescent="0.2"/>
    <row r="105" s="27" customFormat="1" ht="14.1" customHeight="1" x14ac:dyDescent="0.2"/>
    <row r="106" s="27" customFormat="1" ht="14.1" customHeight="1" x14ac:dyDescent="0.2"/>
    <row r="107" s="27" customFormat="1" ht="14.1" customHeight="1" x14ac:dyDescent="0.2"/>
    <row r="108" s="27" customFormat="1" ht="14.1" customHeight="1" x14ac:dyDescent="0.2"/>
    <row r="109" s="27" customFormat="1" ht="14.1" customHeight="1" x14ac:dyDescent="0.2"/>
    <row r="110" s="27" customFormat="1" ht="14.1" customHeight="1" x14ac:dyDescent="0.2"/>
    <row r="111" s="27" customFormat="1" ht="14.1" customHeight="1" x14ac:dyDescent="0.2"/>
    <row r="112" s="27" customFormat="1" ht="14.1" customHeight="1" x14ac:dyDescent="0.2"/>
    <row r="113" s="27" customFormat="1" ht="14.1" customHeight="1" x14ac:dyDescent="0.2"/>
    <row r="114" s="27" customFormat="1" ht="14.1" customHeight="1" x14ac:dyDescent="0.2"/>
    <row r="115" s="27" customFormat="1" ht="14.1" customHeight="1" x14ac:dyDescent="0.2"/>
    <row r="116" s="27" customFormat="1" ht="14.1" customHeight="1" x14ac:dyDescent="0.2"/>
    <row r="117" s="27" customFormat="1" ht="14.1" customHeight="1" x14ac:dyDescent="0.2"/>
    <row r="118" s="27" customFormat="1" ht="14.1" customHeight="1" x14ac:dyDescent="0.2"/>
    <row r="119" s="27" customFormat="1" ht="14.1" customHeight="1" x14ac:dyDescent="0.2"/>
    <row r="120" s="27" customFormat="1" ht="14.1" customHeight="1" x14ac:dyDescent="0.2"/>
    <row r="121" s="27" customFormat="1" ht="14.1" customHeight="1" x14ac:dyDescent="0.2"/>
    <row r="122" s="27" customFormat="1" ht="14.1" customHeight="1" x14ac:dyDescent="0.2"/>
    <row r="123" s="27" customFormat="1" ht="14.1" customHeight="1" x14ac:dyDescent="0.2"/>
    <row r="124" s="27" customFormat="1" ht="14.1" customHeight="1" x14ac:dyDescent="0.2"/>
    <row r="125" s="27" customFormat="1" ht="14.1" customHeight="1" x14ac:dyDescent="0.2"/>
    <row r="126" s="27" customFormat="1" ht="14.1" customHeight="1" x14ac:dyDescent="0.2"/>
    <row r="127" s="27" customFormat="1" ht="14.1" customHeight="1" x14ac:dyDescent="0.2"/>
    <row r="128" s="27" customFormat="1" ht="14.1" customHeight="1" x14ac:dyDescent="0.2"/>
    <row r="129" s="27" customFormat="1" ht="14.1" customHeight="1" x14ac:dyDescent="0.2"/>
    <row r="130" s="27" customFormat="1" ht="14.1" customHeight="1" x14ac:dyDescent="0.2"/>
    <row r="131" s="27" customFormat="1" ht="14.1" customHeight="1" x14ac:dyDescent="0.2"/>
    <row r="132" s="27" customFormat="1" ht="14.1" customHeight="1" x14ac:dyDescent="0.2"/>
    <row r="133" s="27" customFormat="1" ht="14.1" customHeight="1" x14ac:dyDescent="0.2"/>
    <row r="134" s="27" customFormat="1" ht="14.1" customHeight="1" x14ac:dyDescent="0.2"/>
    <row r="135" s="27" customFormat="1" ht="14.1" customHeight="1" x14ac:dyDescent="0.2"/>
    <row r="136" s="27" customFormat="1" ht="14.1" customHeight="1" x14ac:dyDescent="0.2"/>
    <row r="137" s="27" customFormat="1" ht="14.1" customHeight="1" x14ac:dyDescent="0.2"/>
    <row r="138" s="27" customFormat="1" ht="14.1" customHeight="1" x14ac:dyDescent="0.2"/>
    <row r="139" s="27" customFormat="1" ht="14.1" customHeight="1" x14ac:dyDescent="0.2"/>
    <row r="140" s="27" customFormat="1" ht="14.1" customHeight="1" x14ac:dyDescent="0.2"/>
    <row r="141" s="27" customFormat="1" ht="14.1" customHeight="1" x14ac:dyDescent="0.2"/>
    <row r="142" s="27" customFormat="1" ht="14.1" customHeight="1" x14ac:dyDescent="0.2"/>
    <row r="143" s="27" customFormat="1" ht="14.1" customHeight="1" x14ac:dyDescent="0.2"/>
    <row r="144" s="27" customFormat="1" ht="14.1" customHeight="1" x14ac:dyDescent="0.2"/>
    <row r="145" s="27" customFormat="1" ht="14.1" customHeight="1" x14ac:dyDescent="0.2"/>
    <row r="146" s="27" customFormat="1" ht="14.1" customHeight="1" x14ac:dyDescent="0.2"/>
    <row r="147" s="27" customFormat="1" ht="14.1" customHeight="1" x14ac:dyDescent="0.2"/>
    <row r="148" s="27" customFormat="1" ht="14.1" customHeight="1" x14ac:dyDescent="0.2"/>
    <row r="149" s="27" customFormat="1" ht="14.1" customHeight="1" x14ac:dyDescent="0.2"/>
    <row r="150" s="27" customFormat="1" ht="14.1" customHeight="1" x14ac:dyDescent="0.2"/>
    <row r="151" s="27" customFormat="1" ht="14.1" customHeight="1" x14ac:dyDescent="0.2"/>
    <row r="152" s="27" customFormat="1" ht="14.1" customHeight="1" x14ac:dyDescent="0.2"/>
    <row r="153" s="27" customFormat="1" ht="14.1" customHeight="1" x14ac:dyDescent="0.2"/>
    <row r="154" s="27" customFormat="1" ht="14.1" customHeight="1" x14ac:dyDescent="0.2"/>
    <row r="155" s="27" customFormat="1" ht="14.1" customHeight="1" x14ac:dyDescent="0.2"/>
    <row r="156" s="27" customFormat="1" ht="14.1" customHeight="1" x14ac:dyDescent="0.2"/>
    <row r="157" s="27" customFormat="1" ht="14.1" customHeight="1" x14ac:dyDescent="0.2"/>
    <row r="158" s="27" customFormat="1" ht="14.1" customHeight="1" x14ac:dyDescent="0.2"/>
    <row r="159" s="27" customFormat="1" ht="14.1" customHeight="1" x14ac:dyDescent="0.2"/>
    <row r="160" s="27" customFormat="1" ht="14.1" customHeight="1" x14ac:dyDescent="0.2"/>
    <row r="161" s="27" customFormat="1" ht="14.1" customHeight="1" x14ac:dyDescent="0.2"/>
    <row r="162" s="27" customFormat="1" ht="14.1" customHeight="1" x14ac:dyDescent="0.2"/>
    <row r="163" s="27" customFormat="1" ht="14.1" customHeight="1" x14ac:dyDescent="0.2"/>
    <row r="164" s="27" customFormat="1" ht="14.1" customHeight="1" x14ac:dyDescent="0.2"/>
    <row r="165" s="27" customFormat="1" ht="14.1" customHeight="1" x14ac:dyDescent="0.2"/>
    <row r="166" s="27" customFormat="1" ht="14.1" customHeight="1" x14ac:dyDescent="0.2"/>
    <row r="167" s="27" customFormat="1" ht="14.1" customHeight="1" x14ac:dyDescent="0.2"/>
    <row r="168" s="27" customFormat="1" ht="14.1" customHeight="1" x14ac:dyDescent="0.2"/>
    <row r="169" s="27" customFormat="1" ht="14.1" customHeight="1" x14ac:dyDescent="0.2"/>
    <row r="170" s="27" customFormat="1" ht="14.1" customHeight="1" x14ac:dyDescent="0.2"/>
    <row r="171" s="27" customFormat="1" ht="14.1" customHeight="1" x14ac:dyDescent="0.2"/>
    <row r="172" s="27" customFormat="1" ht="14.1" customHeight="1" x14ac:dyDescent="0.2"/>
    <row r="173" s="27" customFormat="1" ht="14.1" customHeight="1" x14ac:dyDescent="0.2"/>
    <row r="174" s="27" customFormat="1" ht="14.1" customHeight="1" x14ac:dyDescent="0.2"/>
    <row r="175" s="27" customFormat="1" ht="14.1" customHeight="1" x14ac:dyDescent="0.2"/>
    <row r="176" s="27" customFormat="1" ht="14.1" customHeight="1" x14ac:dyDescent="0.2"/>
    <row r="177" s="27" customFormat="1" ht="14.1" customHeight="1" x14ac:dyDescent="0.2"/>
    <row r="178" s="27" customFormat="1" ht="14.1" customHeight="1" x14ac:dyDescent="0.2"/>
    <row r="179" s="27" customFormat="1" ht="14.1" customHeight="1" x14ac:dyDescent="0.2"/>
    <row r="180" s="27" customFormat="1" ht="14.1" customHeight="1" x14ac:dyDescent="0.2"/>
    <row r="181" s="27" customFormat="1" ht="14.1" customHeight="1" x14ac:dyDescent="0.2"/>
    <row r="182" s="27" customFormat="1" ht="14.1" customHeight="1" x14ac:dyDescent="0.2"/>
    <row r="183" s="27" customFormat="1" ht="14.1" customHeight="1" x14ac:dyDescent="0.2"/>
    <row r="184" s="27" customFormat="1" ht="14.1" customHeight="1" x14ac:dyDescent="0.2"/>
    <row r="185" s="27" customFormat="1" ht="14.1" customHeight="1" x14ac:dyDescent="0.2"/>
    <row r="186" s="27" customFormat="1" ht="14.1" customHeight="1" x14ac:dyDescent="0.2"/>
    <row r="187" s="27" customFormat="1" ht="14.1" customHeight="1" x14ac:dyDescent="0.2"/>
    <row r="188" s="27" customFormat="1" ht="14.1" customHeight="1" x14ac:dyDescent="0.2"/>
    <row r="189" s="27" customFormat="1" ht="14.1" customHeight="1" x14ac:dyDescent="0.2"/>
    <row r="190" s="27" customFormat="1" ht="14.1" customHeight="1" x14ac:dyDescent="0.2"/>
    <row r="191" s="27" customFormat="1" ht="14.1" customHeight="1" x14ac:dyDescent="0.2"/>
  </sheetData>
  <sheetProtection sheet="1" selectLockedCells="1"/>
  <mergeCells count="5">
    <mergeCell ref="B6:C6"/>
    <mergeCell ref="B8:C8"/>
    <mergeCell ref="N65:P65"/>
    <mergeCell ref="N83:O83"/>
    <mergeCell ref="N84:P84"/>
  </mergeCells>
  <pageMargins left="0.25" right="0.25" top="0.75" bottom="0.75" header="0.3" footer="0.3"/>
  <pageSetup paperSize="9" scale="46" fitToHeight="0" orientation="portrait" r:id="rId1"/>
  <headerFooter>
    <oddFooter>&amp;L&amp;A&amp;R&amp;P/&amp;N</oddFooter>
  </headerFooter>
  <rowBreaks count="1" manualBreakCount="1">
    <brk id="52" max="12" man="1"/>
  </rowBreaks>
  <colBreaks count="1" manualBreakCount="1">
    <brk id="8" max="121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9A2AA0-3575-4C91-9CC6-D25767327F03}">
          <x14:formula1>
            <xm:f>'Osnovni podatki'!$B$6:$B$40</xm:f>
          </x14:formula1>
          <xm:sqref>D6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9BAC3-FFA3-4680-BFA4-030489DA6007}">
  <sheetPr>
    <tabColor rgb="FFFFFF00"/>
    <pageSetUpPr fitToPage="1"/>
  </sheetPr>
  <dimension ref="A1:Y191"/>
  <sheetViews>
    <sheetView showGridLines="0" view="pageBreakPreview" zoomScale="85" zoomScaleNormal="100" zoomScaleSheetLayoutView="85" workbookViewId="0">
      <selection activeCell="D11" sqref="D11"/>
    </sheetView>
  </sheetViews>
  <sheetFormatPr defaultColWidth="9.140625" defaultRowHeight="12.75" x14ac:dyDescent="0.2"/>
  <cols>
    <col min="1" max="1" width="4.85546875" style="27" customWidth="1"/>
    <col min="2" max="2" width="43.5703125" style="27" customWidth="1"/>
    <col min="3" max="3" width="15" style="27" customWidth="1"/>
    <col min="4" max="4" width="18.85546875" style="27" customWidth="1"/>
    <col min="5" max="8" width="15" style="27" customWidth="1"/>
    <col min="9" max="9" width="8.28515625" style="27" customWidth="1"/>
    <col min="10" max="10" width="14.7109375" style="27" customWidth="1"/>
    <col min="11" max="11" width="13.85546875" style="27" customWidth="1"/>
    <col min="12" max="12" width="15.5703125" style="27" customWidth="1"/>
    <col min="13" max="13" width="16.140625" style="27" customWidth="1"/>
    <col min="14" max="14" width="18.42578125" style="27" customWidth="1"/>
    <col min="15" max="15" width="14.7109375" style="27" bestFit="1" customWidth="1"/>
    <col min="16" max="16" width="9.140625" style="27" customWidth="1"/>
    <col min="17" max="24" width="9.140625" style="27"/>
    <col min="25" max="25" width="14.5703125" style="27" bestFit="1" customWidth="1"/>
    <col min="26" max="16384" width="9.140625" style="27"/>
  </cols>
  <sheetData>
    <row r="1" spans="2:13" ht="14.1" customHeight="1" x14ac:dyDescent="0.2">
      <c r="B1" s="11"/>
      <c r="E1" s="11"/>
    </row>
    <row r="2" spans="2:13" ht="28.35" customHeight="1" x14ac:dyDescent="0.2">
      <c r="B2" s="53" t="s">
        <v>31</v>
      </c>
    </row>
    <row r="3" spans="2:13" ht="14.1" customHeight="1" x14ac:dyDescent="0.2"/>
    <row r="4" spans="2:13" ht="19.7" customHeight="1" thickBot="1" x14ac:dyDescent="0.25">
      <c r="B4" s="55" t="s">
        <v>2</v>
      </c>
    </row>
    <row r="5" spans="2:13" ht="18" customHeight="1" x14ac:dyDescent="0.2">
      <c r="B5" s="1" t="s">
        <v>32</v>
      </c>
      <c r="C5" s="29"/>
      <c r="D5" s="30"/>
    </row>
    <row r="6" spans="2:13" ht="18" customHeight="1" x14ac:dyDescent="0.2">
      <c r="B6" s="352" t="s">
        <v>6</v>
      </c>
      <c r="C6" s="353"/>
      <c r="D6" s="28">
        <v>8</v>
      </c>
      <c r="H6" s="154"/>
      <c r="J6" s="154"/>
      <c r="K6" s="154"/>
    </row>
    <row r="7" spans="2:13" ht="18" customHeight="1" x14ac:dyDescent="0.2">
      <c r="B7" s="155" t="s">
        <v>7</v>
      </c>
      <c r="C7" s="156"/>
      <c r="D7" s="157" t="str">
        <f ca="1">MID(CELL("filename", A1), FIND("]", CELL("filename", A1)) + 1, LEN(CELL("filename", A1)) - FIND("]", CELL("filename", A1)))</f>
        <v>IS08</v>
      </c>
      <c r="H7" s="154"/>
      <c r="J7" s="154"/>
      <c r="K7" s="154"/>
    </row>
    <row r="8" spans="2:13" ht="30" customHeight="1" thickBot="1" x14ac:dyDescent="0.25">
      <c r="B8" s="356" t="s">
        <v>58</v>
      </c>
      <c r="C8" s="357"/>
      <c r="D8" s="158" t="str">
        <f>INDEX('Referenčne količine'!$B$4:$M$12,MATCH($B8,('Referenčne količine'!$B$4:$B$12),0),MATCH($D$6,'Referenčne količine'!$B$5:$M$5,0))</f>
        <v>SE Osnovna šola Velika Dolina 1</v>
      </c>
      <c r="H8" s="154"/>
      <c r="J8" s="154"/>
      <c r="K8" s="154"/>
    </row>
    <row r="9" spans="2:13" ht="18.75" customHeight="1" x14ac:dyDescent="0.25">
      <c r="B9" s="159" t="s">
        <v>215</v>
      </c>
      <c r="C9" s="160"/>
      <c r="D9" s="161"/>
      <c r="H9" s="154"/>
      <c r="J9"/>
      <c r="K9" s="162"/>
      <c r="L9"/>
      <c r="M9"/>
    </row>
    <row r="10" spans="2:13" ht="18.75" customHeight="1" x14ac:dyDescent="0.25">
      <c r="B10" s="163" t="s">
        <v>62</v>
      </c>
      <c r="C10" s="164" t="s">
        <v>60</v>
      </c>
      <c r="D10" s="165">
        <f>INDEX('Referenčne količine'!$B$9:$M$12,MATCH(B10,('Referenčne količine'!$B$9:$B$12),0),MATCH($D$6,'Referenčne količine'!$B$5:$M$5,0))</f>
        <v>26.9</v>
      </c>
      <c r="H10" s="154"/>
      <c r="J10"/>
      <c r="K10" s="162"/>
      <c r="L10"/>
      <c r="M10"/>
    </row>
    <row r="11" spans="2:13" ht="18.75" customHeight="1" x14ac:dyDescent="0.25">
      <c r="B11" s="163" t="s">
        <v>148</v>
      </c>
      <c r="C11" s="164" t="s">
        <v>46</v>
      </c>
      <c r="D11" s="80"/>
      <c r="H11" s="154"/>
      <c r="J11" s="162"/>
      <c r="K11" s="162"/>
      <c r="L11"/>
      <c r="M11"/>
    </row>
    <row r="12" spans="2:13" ht="18.75" customHeight="1" x14ac:dyDescent="0.25">
      <c r="B12" s="163" t="s">
        <v>64</v>
      </c>
      <c r="C12" s="164" t="s">
        <v>27</v>
      </c>
      <c r="D12" s="165">
        <f>INDEX('Referenčne količine'!$B$9:$M$12,MATCH(B12,('Referenčne količine'!$B$9:$B$12),0),MATCH($D$6,'Referenčne količine'!$B$5:$M$5,0))</f>
        <v>0</v>
      </c>
      <c r="J12"/>
      <c r="K12"/>
      <c r="L12"/>
      <c r="M12"/>
    </row>
    <row r="13" spans="2:13" ht="18.75" customHeight="1" x14ac:dyDescent="0.25">
      <c r="B13" s="163" t="s">
        <v>65</v>
      </c>
      <c r="C13" s="164" t="s">
        <v>61</v>
      </c>
      <c r="D13" s="165">
        <f>INDEX('Referenčne količine'!$B$9:$M$12,MATCH(B13,('Referenčne količine'!$B$9:$B$12),0),MATCH($D$6,'Referenčne količine'!$B$5:$M$5,0))</f>
        <v>0</v>
      </c>
      <c r="J13"/>
      <c r="K13"/>
      <c r="L13"/>
      <c r="M13"/>
    </row>
    <row r="14" spans="2:13" ht="18.75" customHeight="1" thickBot="1" x14ac:dyDescent="0.3">
      <c r="B14" s="166" t="s">
        <v>145</v>
      </c>
      <c r="C14" s="167" t="s">
        <v>27</v>
      </c>
      <c r="D14" s="153"/>
      <c r="J14"/>
      <c r="K14"/>
      <c r="L14"/>
      <c r="M14"/>
    </row>
    <row r="15" spans="2:13" ht="18.75" customHeight="1" x14ac:dyDescent="0.25">
      <c r="B15" s="168" t="s">
        <v>77</v>
      </c>
      <c r="C15" s="169"/>
      <c r="D15" s="170"/>
      <c r="J15"/>
      <c r="K15"/>
      <c r="L15"/>
      <c r="M15"/>
    </row>
    <row r="16" spans="2:13" ht="18.75" customHeight="1" x14ac:dyDescent="0.25">
      <c r="B16" s="171" t="s">
        <v>140</v>
      </c>
      <c r="C16" s="172" t="s">
        <v>141</v>
      </c>
      <c r="D16" s="28">
        <f>IFERROR(VLOOKUP(D$6,'Osnovni podatki'!$B$6:$I$41,7,FALSE),"")</f>
        <v>25.52</v>
      </c>
      <c r="J16"/>
      <c r="K16"/>
      <c r="L16"/>
      <c r="M16"/>
    </row>
    <row r="17" spans="2:13" ht="18.75" customHeight="1" x14ac:dyDescent="0.25">
      <c r="B17" s="171" t="s">
        <v>77</v>
      </c>
      <c r="C17" s="172" t="s">
        <v>28</v>
      </c>
      <c r="D17" s="78"/>
      <c r="G17" s="173"/>
      <c r="J17"/>
      <c r="K17"/>
      <c r="L17"/>
      <c r="M17"/>
    </row>
    <row r="18" spans="2:13" ht="18.75" customHeight="1" x14ac:dyDescent="0.25">
      <c r="B18" s="171" t="s">
        <v>79</v>
      </c>
      <c r="C18" s="172" t="s">
        <v>28</v>
      </c>
      <c r="D18" s="79">
        <f>D16*358</f>
        <v>9136.16</v>
      </c>
      <c r="J18"/>
      <c r="K18"/>
      <c r="L18"/>
      <c r="M18"/>
    </row>
    <row r="19" spans="2:13" ht="18.75" customHeight="1" x14ac:dyDescent="0.25">
      <c r="B19" s="174" t="s">
        <v>147</v>
      </c>
      <c r="C19" s="175" t="s">
        <v>146</v>
      </c>
      <c r="D19" s="91"/>
      <c r="J19"/>
      <c r="K19"/>
      <c r="L19"/>
      <c r="M19"/>
    </row>
    <row r="20" spans="2:13" ht="18.75" customHeight="1" x14ac:dyDescent="0.25">
      <c r="B20" s="174" t="s">
        <v>200</v>
      </c>
      <c r="C20" s="175" t="s">
        <v>28</v>
      </c>
      <c r="D20" s="176">
        <f>D17-D18-D21</f>
        <v>-9136.16</v>
      </c>
      <c r="J20"/>
      <c r="K20"/>
      <c r="L20"/>
      <c r="M20"/>
    </row>
    <row r="21" spans="2:13" ht="18.75" customHeight="1" thickBot="1" x14ac:dyDescent="0.3">
      <c r="B21" s="174" t="s">
        <v>202</v>
      </c>
      <c r="C21" s="175" t="s">
        <v>28</v>
      </c>
      <c r="D21" s="165">
        <f>D17*D19</f>
        <v>0</v>
      </c>
      <c r="J21"/>
      <c r="K21"/>
      <c r="L21"/>
      <c r="M21"/>
    </row>
    <row r="22" spans="2:13" ht="18.75" customHeight="1" x14ac:dyDescent="0.25">
      <c r="B22" s="177" t="s">
        <v>66</v>
      </c>
      <c r="C22" s="178"/>
      <c r="D22" s="179"/>
      <c r="J22"/>
      <c r="K22"/>
      <c r="L22"/>
      <c r="M22"/>
    </row>
    <row r="23" spans="2:13" ht="18.75" customHeight="1" x14ac:dyDescent="0.25">
      <c r="B23" s="180" t="s">
        <v>67</v>
      </c>
      <c r="C23" s="181" t="s">
        <v>60</v>
      </c>
      <c r="D23" s="85"/>
      <c r="J23"/>
      <c r="K23"/>
      <c r="L23"/>
      <c r="M23"/>
    </row>
    <row r="24" spans="2:13" ht="18.75" customHeight="1" x14ac:dyDescent="0.25">
      <c r="B24" s="182" t="s">
        <v>137</v>
      </c>
      <c r="C24" s="183" t="s">
        <v>60</v>
      </c>
      <c r="D24" s="80"/>
      <c r="J24"/>
      <c r="K24"/>
      <c r="L24"/>
      <c r="M24"/>
    </row>
    <row r="25" spans="2:13" ht="18.75" customHeight="1" x14ac:dyDescent="0.25">
      <c r="B25" s="182" t="s">
        <v>138</v>
      </c>
      <c r="C25" s="183" t="s">
        <v>60</v>
      </c>
      <c r="D25" s="80"/>
      <c r="J25"/>
      <c r="K25"/>
      <c r="L25"/>
      <c r="M25"/>
    </row>
    <row r="26" spans="2:13" ht="18.75" customHeight="1" thickBot="1" x14ac:dyDescent="0.3">
      <c r="B26" s="184" t="s">
        <v>198</v>
      </c>
      <c r="C26" s="185" t="s">
        <v>60</v>
      </c>
      <c r="D26" s="186">
        <f>D10-D24</f>
        <v>26.9</v>
      </c>
      <c r="J26"/>
      <c r="K26"/>
      <c r="L26"/>
      <c r="M26"/>
    </row>
    <row r="27" spans="2:13" ht="18.75" customHeight="1" x14ac:dyDescent="0.25">
      <c r="B27" s="187" t="s">
        <v>29</v>
      </c>
      <c r="C27" s="188"/>
      <c r="D27" s="189"/>
      <c r="J27"/>
      <c r="K27"/>
      <c r="L27"/>
      <c r="M27"/>
    </row>
    <row r="28" spans="2:13" ht="18.75" customHeight="1" x14ac:dyDescent="0.25">
      <c r="B28" s="190" t="s">
        <v>216</v>
      </c>
      <c r="C28" s="191" t="s">
        <v>197</v>
      </c>
      <c r="D28" s="84"/>
      <c r="J28"/>
      <c r="K28"/>
      <c r="L28"/>
      <c r="M28"/>
    </row>
    <row r="29" spans="2:13" ht="18.75" customHeight="1" thickBot="1" x14ac:dyDescent="0.3">
      <c r="B29" s="192" t="s">
        <v>76</v>
      </c>
      <c r="C29" s="193" t="s">
        <v>61</v>
      </c>
      <c r="D29" s="194">
        <f>D16*D28</f>
        <v>0</v>
      </c>
      <c r="J29"/>
      <c r="K29"/>
      <c r="L29"/>
      <c r="M29"/>
    </row>
    <row r="30" spans="2:13" ht="18.75" customHeight="1" x14ac:dyDescent="0.25">
      <c r="B30" s="195" t="s">
        <v>199</v>
      </c>
      <c r="C30" s="196"/>
      <c r="D30" s="197"/>
      <c r="J30"/>
      <c r="K30"/>
      <c r="L30"/>
      <c r="M30"/>
    </row>
    <row r="31" spans="2:13" ht="18.75" customHeight="1" thickBot="1" x14ac:dyDescent="0.3">
      <c r="B31" s="198" t="s">
        <v>143</v>
      </c>
      <c r="C31" s="199" t="s">
        <v>27</v>
      </c>
      <c r="D31" s="83"/>
      <c r="J31"/>
      <c r="K31"/>
      <c r="L31"/>
      <c r="M31"/>
    </row>
    <row r="32" spans="2:13" ht="18.75" customHeight="1" x14ac:dyDescent="0.2">
      <c r="B32" s="200" t="s">
        <v>203</v>
      </c>
      <c r="C32" s="201"/>
      <c r="D32" s="202"/>
    </row>
    <row r="33" spans="2:6" ht="18.75" customHeight="1" x14ac:dyDescent="0.2">
      <c r="B33" s="203" t="s">
        <v>30</v>
      </c>
      <c r="C33" s="204" t="s">
        <v>61</v>
      </c>
      <c r="D33" s="165">
        <f>D13</f>
        <v>0</v>
      </c>
      <c r="E33" s="154"/>
    </row>
    <row r="34" spans="2:6" ht="18.75" customHeight="1" thickBot="1" x14ac:dyDescent="0.25">
      <c r="B34" s="205" t="s">
        <v>144</v>
      </c>
      <c r="C34" s="206" t="s">
        <v>61</v>
      </c>
      <c r="D34" s="194">
        <f>D10*D31</f>
        <v>0</v>
      </c>
    </row>
    <row r="35" spans="2:6" ht="18.75" customHeight="1" x14ac:dyDescent="0.2">
      <c r="B35" s="207" t="s">
        <v>204</v>
      </c>
      <c r="C35" s="208"/>
      <c r="D35" s="209"/>
    </row>
    <row r="36" spans="2:6" ht="18.75" customHeight="1" x14ac:dyDescent="0.2">
      <c r="B36" s="210" t="s">
        <v>205</v>
      </c>
      <c r="C36" s="211" t="s">
        <v>60</v>
      </c>
      <c r="D36" s="165">
        <f>D23*D11</f>
        <v>0</v>
      </c>
    </row>
    <row r="37" spans="2:6" ht="18.75" customHeight="1" x14ac:dyDescent="0.2">
      <c r="B37" s="210" t="s">
        <v>206</v>
      </c>
      <c r="C37" s="211" t="s">
        <v>146</v>
      </c>
      <c r="D37" s="212" t="e">
        <f>D24/D23</f>
        <v>#DIV/0!</v>
      </c>
    </row>
    <row r="38" spans="2:6" ht="18.75" customHeight="1" x14ac:dyDescent="0.2">
      <c r="B38" s="210" t="s">
        <v>70</v>
      </c>
      <c r="C38" s="211" t="s">
        <v>27</v>
      </c>
      <c r="D38" s="165">
        <f>D31</f>
        <v>0</v>
      </c>
    </row>
    <row r="39" spans="2:6" ht="18.75" customHeight="1" x14ac:dyDescent="0.2">
      <c r="B39" s="210" t="s">
        <v>207</v>
      </c>
      <c r="C39" s="211" t="s">
        <v>208</v>
      </c>
      <c r="D39" s="213">
        <f>J60</f>
        <v>10</v>
      </c>
    </row>
    <row r="40" spans="2:6" ht="18.75" customHeight="1" thickBot="1" x14ac:dyDescent="0.25">
      <c r="B40" s="214" t="s">
        <v>210</v>
      </c>
      <c r="C40" s="215" t="s">
        <v>28</v>
      </c>
      <c r="D40" s="194">
        <f>D20</f>
        <v>-9136.16</v>
      </c>
      <c r="F40" s="154"/>
    </row>
    <row r="41" spans="2:6" ht="14.1" customHeight="1" x14ac:dyDescent="0.2">
      <c r="F41" s="154"/>
    </row>
    <row r="42" spans="2:6" ht="14.1" customHeight="1" x14ac:dyDescent="0.2">
      <c r="B42" s="216"/>
      <c r="F42" s="154"/>
    </row>
    <row r="43" spans="2:6" ht="14.1" customHeight="1" x14ac:dyDescent="0.2">
      <c r="B43" s="216" t="s">
        <v>209</v>
      </c>
    </row>
    <row r="44" spans="2:6" ht="14.1" customHeight="1" x14ac:dyDescent="0.2">
      <c r="B44" s="27" t="s">
        <v>211</v>
      </c>
    </row>
    <row r="45" spans="2:6" ht="14.1" customHeight="1" x14ac:dyDescent="0.2">
      <c r="B45" s="27" t="s">
        <v>212</v>
      </c>
    </row>
    <row r="46" spans="2:6" ht="14.1" customHeight="1" x14ac:dyDescent="0.2">
      <c r="B46" s="27" t="s">
        <v>213</v>
      </c>
    </row>
    <row r="47" spans="2:6" ht="14.1" customHeight="1" x14ac:dyDescent="0.2">
      <c r="B47" s="27" t="s">
        <v>214</v>
      </c>
    </row>
    <row r="48" spans="2:6" ht="14.1" customHeight="1" x14ac:dyDescent="0.2"/>
    <row r="49" spans="1:25" ht="14.1" customHeight="1" x14ac:dyDescent="0.2"/>
    <row r="50" spans="1:25" ht="14.1" customHeight="1" x14ac:dyDescent="0.2"/>
    <row r="51" spans="1:25" ht="14.1" customHeight="1" x14ac:dyDescent="0.2">
      <c r="N51" s="10"/>
      <c r="O51" s="10"/>
      <c r="P51" s="10"/>
    </row>
    <row r="52" spans="1:25" ht="14.1" customHeight="1" x14ac:dyDescent="0.2">
      <c r="N52" s="10"/>
      <c r="O52" s="10"/>
      <c r="P52" s="10"/>
    </row>
    <row r="53" spans="1:25" ht="17.100000000000001" customHeight="1" thickBot="1" x14ac:dyDescent="0.25">
      <c r="B53" s="55"/>
      <c r="N53" s="10"/>
      <c r="O53" s="10"/>
      <c r="P53" s="10"/>
    </row>
    <row r="54" spans="1:25" ht="17.100000000000001" customHeight="1" x14ac:dyDescent="0.2">
      <c r="B54" s="217" t="s">
        <v>43</v>
      </c>
      <c r="C54" s="218"/>
      <c r="D54" s="218"/>
      <c r="E54" s="219" t="s">
        <v>217</v>
      </c>
      <c r="F54" s="219" t="s">
        <v>201</v>
      </c>
      <c r="G54" s="220" t="s">
        <v>24</v>
      </c>
      <c r="N54" s="221"/>
      <c r="O54" s="221"/>
      <c r="P54" s="10"/>
      <c r="Y54" s="222"/>
    </row>
    <row r="55" spans="1:25" ht="17.100000000000001" customHeight="1" x14ac:dyDescent="0.25">
      <c r="A55"/>
      <c r="B55" s="223" t="s">
        <v>78</v>
      </c>
      <c r="C55" s="224"/>
      <c r="D55" s="225" t="s">
        <v>61</v>
      </c>
      <c r="E55" s="92">
        <f>D24*D12+D25*D14-D29</f>
        <v>0</v>
      </c>
      <c r="F55" s="92">
        <f>D33-D34</f>
        <v>0</v>
      </c>
      <c r="G55" s="56">
        <f>D31*D10-(D26*D12-D25*D14)-D16*D28</f>
        <v>0</v>
      </c>
      <c r="H55" s="154"/>
      <c r="N55" s="221"/>
      <c r="O55" s="221"/>
      <c r="P55" s="10"/>
      <c r="Y55" s="222"/>
    </row>
    <row r="56" spans="1:25" ht="14.1" customHeight="1" x14ac:dyDescent="0.25">
      <c r="A56"/>
      <c r="B56" s="226" t="s">
        <v>44</v>
      </c>
      <c r="C56" s="227"/>
      <c r="D56" s="225" t="s">
        <v>28</v>
      </c>
      <c r="E56" s="92">
        <f>D78</f>
        <v>0</v>
      </c>
      <c r="F56" s="92" t="e">
        <f>F55/E55*E56</f>
        <v>#DIV/0!</v>
      </c>
      <c r="G56" s="56" t="e">
        <f>G55/E55*E56</f>
        <v>#DIV/0!</v>
      </c>
      <c r="H56" s="154"/>
      <c r="N56" s="221"/>
      <c r="O56" s="221"/>
      <c r="P56" s="10"/>
      <c r="Y56" s="222"/>
    </row>
    <row r="57" spans="1:25" ht="17.100000000000001" customHeight="1" x14ac:dyDescent="0.25">
      <c r="A57"/>
      <c r="B57" s="226" t="s">
        <v>45</v>
      </c>
      <c r="C57" s="227"/>
      <c r="D57" s="225" t="s">
        <v>28</v>
      </c>
      <c r="E57" s="92">
        <f>M91</f>
        <v>0</v>
      </c>
      <c r="F57" s="92" t="e">
        <f>F55/E55*E57</f>
        <v>#DIV/0!</v>
      </c>
      <c r="G57" s="56" t="e">
        <f>G55/E55*E57</f>
        <v>#DIV/0!</v>
      </c>
      <c r="H57" s="154"/>
      <c r="N57" s="221"/>
      <c r="O57" s="221"/>
      <c r="P57" s="10"/>
      <c r="Y57" s="222"/>
    </row>
    <row r="58" spans="1:25" ht="17.100000000000001" customHeight="1" thickBot="1" x14ac:dyDescent="0.3">
      <c r="A58"/>
      <c r="B58" s="228" t="s">
        <v>80</v>
      </c>
      <c r="C58" s="229"/>
      <c r="D58" s="230" t="s">
        <v>28</v>
      </c>
      <c r="E58" s="93">
        <f>D17-D18</f>
        <v>-9136.16</v>
      </c>
      <c r="F58" s="93">
        <f>D20</f>
        <v>-9136.16</v>
      </c>
      <c r="G58" s="94">
        <f>D21</f>
        <v>0</v>
      </c>
      <c r="H58" s="154"/>
      <c r="N58" s="221"/>
      <c r="O58" s="221"/>
      <c r="P58" s="10"/>
      <c r="Y58" s="222"/>
    </row>
    <row r="59" spans="1:25" ht="30.75" thickBot="1" x14ac:dyDescent="0.3">
      <c r="A59"/>
      <c r="B59"/>
      <c r="C59"/>
      <c r="D59"/>
      <c r="E59"/>
      <c r="J59" s="231" t="s">
        <v>41</v>
      </c>
      <c r="K59" s="24" t="s">
        <v>42</v>
      </c>
      <c r="L59" s="25"/>
      <c r="M59" s="26"/>
      <c r="N59" s="221"/>
      <c r="O59" s="221"/>
      <c r="P59" s="10"/>
      <c r="Y59" s="222"/>
    </row>
    <row r="60" spans="1:25" ht="17.100000000000001" customHeight="1" thickBot="1" x14ac:dyDescent="0.3">
      <c r="A60"/>
      <c r="B60" s="55" t="s">
        <v>34</v>
      </c>
      <c r="E60"/>
      <c r="J60" s="54">
        <f>'IS01'!J60</f>
        <v>10</v>
      </c>
      <c r="K60" s="21" t="s">
        <v>36</v>
      </c>
      <c r="L60" s="22" t="s">
        <v>37</v>
      </c>
      <c r="M60" s="23" t="s">
        <v>38</v>
      </c>
      <c r="N60" s="10"/>
      <c r="O60" s="10"/>
      <c r="P60" s="10"/>
      <c r="Y60" s="216"/>
    </row>
    <row r="61" spans="1:25" ht="15.75" customHeight="1" x14ac:dyDescent="0.25">
      <c r="A61"/>
      <c r="B61" s="13" t="s">
        <v>35</v>
      </c>
      <c r="C61" s="14"/>
      <c r="D61" s="15"/>
      <c r="E61"/>
      <c r="K61" s="232">
        <f>IF($J$60&gt;0, 1, "")</f>
        <v>1</v>
      </c>
      <c r="L61" s="233">
        <f t="shared" ref="L61:L90" si="0">IF($J$60&gt;=K61,$E$55, "")</f>
        <v>0</v>
      </c>
      <c r="M61" s="57">
        <f t="shared" ref="M61:M90" si="1">IF($J$60&gt;=K61,L61/((1+$M$93)^K61), "0")</f>
        <v>0</v>
      </c>
      <c r="N61" s="10"/>
      <c r="O61" s="10"/>
      <c r="P61" s="10"/>
      <c r="Y61" s="216"/>
    </row>
    <row r="62" spans="1:25" ht="15.75" customHeight="1" x14ac:dyDescent="0.25">
      <c r="A62"/>
      <c r="B62" s="2" t="s">
        <v>36</v>
      </c>
      <c r="C62" s="3" t="s">
        <v>37</v>
      </c>
      <c r="D62" s="4" t="s">
        <v>38</v>
      </c>
      <c r="E62"/>
      <c r="K62" s="234">
        <f>IF($J$60&gt;K61, 2, "")</f>
        <v>2</v>
      </c>
      <c r="L62" s="235">
        <f t="shared" si="0"/>
        <v>0</v>
      </c>
      <c r="M62" s="58">
        <f t="shared" si="1"/>
        <v>0</v>
      </c>
      <c r="N62" s="10"/>
      <c r="O62" s="10"/>
      <c r="P62" s="10"/>
      <c r="Y62" s="216"/>
    </row>
    <row r="63" spans="1:25" ht="15.75" customHeight="1" x14ac:dyDescent="0.25">
      <c r="A63"/>
      <c r="B63" s="31">
        <v>1</v>
      </c>
      <c r="C63" s="47">
        <f t="shared" ref="C63:C77" si="2">$E$55</f>
        <v>0</v>
      </c>
      <c r="D63" s="48">
        <f t="shared" ref="D63:D77" si="3">C63/((1+$D$80)^B63)</f>
        <v>0</v>
      </c>
      <c r="E63" s="162"/>
      <c r="K63" s="234">
        <f>IF($J$60&gt;K62,3, "")</f>
        <v>3</v>
      </c>
      <c r="L63" s="235">
        <f t="shared" si="0"/>
        <v>0</v>
      </c>
      <c r="M63" s="58">
        <f t="shared" si="1"/>
        <v>0</v>
      </c>
      <c r="N63" s="236"/>
      <c r="O63" s="236"/>
      <c r="P63" s="10"/>
      <c r="Y63" s="237"/>
    </row>
    <row r="64" spans="1:25" ht="15.75" customHeight="1" x14ac:dyDescent="0.2">
      <c r="B64" s="31">
        <v>2</v>
      </c>
      <c r="C64" s="47">
        <f t="shared" si="2"/>
        <v>0</v>
      </c>
      <c r="D64" s="48">
        <f t="shared" si="3"/>
        <v>0</v>
      </c>
      <c r="E64" s="247"/>
      <c r="K64" s="234">
        <f>IF($J$60&gt;K63, 4, "")</f>
        <v>4</v>
      </c>
      <c r="L64" s="235">
        <f t="shared" si="0"/>
        <v>0</v>
      </c>
      <c r="M64" s="58">
        <f t="shared" si="1"/>
        <v>0</v>
      </c>
      <c r="N64" s="10"/>
      <c r="O64" s="10"/>
      <c r="P64" s="10"/>
    </row>
    <row r="65" spans="2:19" ht="15.75" customHeight="1" x14ac:dyDescent="0.2">
      <c r="B65" s="31">
        <v>3</v>
      </c>
      <c r="C65" s="47">
        <f t="shared" si="2"/>
        <v>0</v>
      </c>
      <c r="D65" s="48">
        <f t="shared" si="3"/>
        <v>0</v>
      </c>
      <c r="E65" s="247"/>
      <c r="K65" s="234">
        <f>IF($J$60&gt;K64, 5, "")</f>
        <v>5</v>
      </c>
      <c r="L65" s="235">
        <f t="shared" si="0"/>
        <v>0</v>
      </c>
      <c r="M65" s="58">
        <f t="shared" si="1"/>
        <v>0</v>
      </c>
      <c r="N65" s="358"/>
      <c r="O65" s="351"/>
      <c r="P65" s="351"/>
    </row>
    <row r="66" spans="2:19" ht="15.75" customHeight="1" x14ac:dyDescent="0.2">
      <c r="B66" s="31">
        <v>4</v>
      </c>
      <c r="C66" s="47">
        <f t="shared" si="2"/>
        <v>0</v>
      </c>
      <c r="D66" s="48">
        <f t="shared" si="3"/>
        <v>0</v>
      </c>
      <c r="E66" s="247"/>
      <c r="G66" s="59"/>
      <c r="K66" s="234">
        <f>IF($J$60&gt;K65, 6, "")</f>
        <v>6</v>
      </c>
      <c r="L66" s="235">
        <f t="shared" si="0"/>
        <v>0</v>
      </c>
      <c r="M66" s="58">
        <f t="shared" si="1"/>
        <v>0</v>
      </c>
      <c r="N66" s="10"/>
      <c r="O66" s="10"/>
      <c r="P66" s="10"/>
    </row>
    <row r="67" spans="2:19" ht="15.75" customHeight="1" x14ac:dyDescent="0.2">
      <c r="B67" s="31">
        <v>5</v>
      </c>
      <c r="C67" s="47">
        <f t="shared" si="2"/>
        <v>0</v>
      </c>
      <c r="D67" s="48">
        <f t="shared" si="3"/>
        <v>0</v>
      </c>
      <c r="E67" s="247"/>
      <c r="I67" s="10"/>
      <c r="K67" s="234">
        <f>IF($J$60&gt;K66, 7, "")</f>
        <v>7</v>
      </c>
      <c r="L67" s="235">
        <f t="shared" si="0"/>
        <v>0</v>
      </c>
      <c r="M67" s="58">
        <f t="shared" si="1"/>
        <v>0</v>
      </c>
      <c r="N67" s="10"/>
      <c r="O67" s="10"/>
      <c r="P67" s="10"/>
    </row>
    <row r="68" spans="2:19" ht="15.75" customHeight="1" x14ac:dyDescent="0.2">
      <c r="B68" s="31">
        <v>6</v>
      </c>
      <c r="C68" s="47">
        <f t="shared" si="2"/>
        <v>0</v>
      </c>
      <c r="D68" s="48">
        <f t="shared" si="3"/>
        <v>0</v>
      </c>
      <c r="E68" s="247"/>
      <c r="I68" s="10"/>
      <c r="K68" s="234">
        <f>IF($J$60&gt;K67, 8, "")</f>
        <v>8</v>
      </c>
      <c r="L68" s="235">
        <f t="shared" si="0"/>
        <v>0</v>
      </c>
      <c r="M68" s="58">
        <f t="shared" si="1"/>
        <v>0</v>
      </c>
      <c r="N68" s="10"/>
      <c r="O68" s="10"/>
      <c r="P68" s="10"/>
      <c r="Q68" s="10"/>
      <c r="R68" s="10"/>
      <c r="S68" s="10"/>
    </row>
    <row r="69" spans="2:19" ht="15.75" customHeight="1" x14ac:dyDescent="0.2">
      <c r="B69" s="31">
        <v>7</v>
      </c>
      <c r="C69" s="47">
        <f t="shared" si="2"/>
        <v>0</v>
      </c>
      <c r="D69" s="48">
        <f t="shared" si="3"/>
        <v>0</v>
      </c>
      <c r="E69" s="247"/>
      <c r="K69" s="234">
        <f>IF($J$60&gt;K68, 9, "")</f>
        <v>9</v>
      </c>
      <c r="L69" s="235">
        <f t="shared" si="0"/>
        <v>0</v>
      </c>
      <c r="M69" s="58">
        <f t="shared" si="1"/>
        <v>0</v>
      </c>
      <c r="N69" s="10"/>
      <c r="O69" s="10"/>
      <c r="P69" s="10"/>
      <c r="Q69" s="10"/>
      <c r="R69" s="10"/>
      <c r="S69" s="10"/>
    </row>
    <row r="70" spans="2:19" ht="15.75" customHeight="1" x14ac:dyDescent="0.2">
      <c r="B70" s="31">
        <v>8</v>
      </c>
      <c r="C70" s="47">
        <f t="shared" si="2"/>
        <v>0</v>
      </c>
      <c r="D70" s="48">
        <f t="shared" si="3"/>
        <v>0</v>
      </c>
      <c r="E70" s="247"/>
      <c r="K70" s="234">
        <f>IF($J$60&gt;K69, 10, "")</f>
        <v>10</v>
      </c>
      <c r="L70" s="235">
        <f t="shared" si="0"/>
        <v>0</v>
      </c>
      <c r="M70" s="58">
        <f t="shared" si="1"/>
        <v>0</v>
      </c>
      <c r="N70" s="10"/>
      <c r="O70" s="10"/>
      <c r="P70" s="10"/>
    </row>
    <row r="71" spans="2:19" ht="15.75" customHeight="1" x14ac:dyDescent="0.2">
      <c r="B71" s="31">
        <v>9</v>
      </c>
      <c r="C71" s="47">
        <f t="shared" si="2"/>
        <v>0</v>
      </c>
      <c r="D71" s="48">
        <f t="shared" si="3"/>
        <v>0</v>
      </c>
      <c r="E71" s="247"/>
      <c r="K71" s="234" t="str">
        <f>IF($J$60&gt;K70, 11, "")</f>
        <v/>
      </c>
      <c r="L71" s="235" t="str">
        <f t="shared" si="0"/>
        <v/>
      </c>
      <c r="M71" s="58" t="str">
        <f t="shared" si="1"/>
        <v>0</v>
      </c>
      <c r="N71" s="10"/>
      <c r="O71" s="10"/>
      <c r="P71" s="10"/>
    </row>
    <row r="72" spans="2:19" ht="15.75" customHeight="1" x14ac:dyDescent="0.2">
      <c r="B72" s="31">
        <v>10</v>
      </c>
      <c r="C72" s="47">
        <f t="shared" si="2"/>
        <v>0</v>
      </c>
      <c r="D72" s="48">
        <f t="shared" si="3"/>
        <v>0</v>
      </c>
      <c r="E72" s="247"/>
      <c r="K72" s="234" t="str">
        <f>IF($J$60&gt;K71, 12, "")</f>
        <v/>
      </c>
      <c r="L72" s="235" t="str">
        <f t="shared" si="0"/>
        <v/>
      </c>
      <c r="M72" s="58" t="str">
        <f t="shared" si="1"/>
        <v>0</v>
      </c>
      <c r="N72" s="10"/>
      <c r="O72" s="10"/>
      <c r="P72" s="10"/>
    </row>
    <row r="73" spans="2:19" ht="15.75" customHeight="1" x14ac:dyDescent="0.2">
      <c r="B73" s="31">
        <v>11</v>
      </c>
      <c r="C73" s="47">
        <f t="shared" si="2"/>
        <v>0</v>
      </c>
      <c r="D73" s="48">
        <f t="shared" si="3"/>
        <v>0</v>
      </c>
      <c r="E73" s="247"/>
      <c r="K73" s="234" t="str">
        <f>IF($J$60&gt;K72, 13, "")</f>
        <v/>
      </c>
      <c r="L73" s="235" t="str">
        <f t="shared" si="0"/>
        <v/>
      </c>
      <c r="M73" s="58" t="str">
        <f t="shared" si="1"/>
        <v>0</v>
      </c>
      <c r="N73" s="10"/>
      <c r="O73" s="10"/>
      <c r="P73" s="10"/>
    </row>
    <row r="74" spans="2:19" ht="15.75" customHeight="1" x14ac:dyDescent="0.2">
      <c r="B74" s="31">
        <v>12</v>
      </c>
      <c r="C74" s="47">
        <f t="shared" si="2"/>
        <v>0</v>
      </c>
      <c r="D74" s="48">
        <f t="shared" si="3"/>
        <v>0</v>
      </c>
      <c r="E74" s="247"/>
      <c r="K74" s="234" t="str">
        <f>IF($J$60&gt;K73, 14, "")</f>
        <v/>
      </c>
      <c r="L74" s="235" t="str">
        <f t="shared" si="0"/>
        <v/>
      </c>
      <c r="M74" s="58" t="str">
        <f t="shared" si="1"/>
        <v>0</v>
      </c>
      <c r="N74" s="10"/>
      <c r="O74" s="10"/>
      <c r="P74" s="10"/>
    </row>
    <row r="75" spans="2:19" ht="15.75" customHeight="1" x14ac:dyDescent="0.2">
      <c r="B75" s="31">
        <v>13</v>
      </c>
      <c r="C75" s="47">
        <f t="shared" si="2"/>
        <v>0</v>
      </c>
      <c r="D75" s="48">
        <f t="shared" si="3"/>
        <v>0</v>
      </c>
      <c r="E75" s="247"/>
      <c r="K75" s="234" t="str">
        <f>IF($J$60&gt;K74, 15, "")</f>
        <v/>
      </c>
      <c r="L75" s="235" t="str">
        <f t="shared" si="0"/>
        <v/>
      </c>
      <c r="M75" s="58" t="str">
        <f t="shared" si="1"/>
        <v>0</v>
      </c>
      <c r="N75" s="10"/>
      <c r="O75" s="10"/>
      <c r="P75" s="10"/>
    </row>
    <row r="76" spans="2:19" ht="15.75" customHeight="1" x14ac:dyDescent="0.25">
      <c r="B76" s="31">
        <v>14</v>
      </c>
      <c r="C76" s="47">
        <f t="shared" si="2"/>
        <v>0</v>
      </c>
      <c r="D76" s="48">
        <f t="shared" si="3"/>
        <v>0</v>
      </c>
      <c r="E76" s="247"/>
      <c r="G76"/>
      <c r="K76" s="234" t="str">
        <f>IF($J$60&gt;K75, 16, "")</f>
        <v/>
      </c>
      <c r="L76" s="235" t="str">
        <f t="shared" si="0"/>
        <v/>
      </c>
      <c r="M76" s="58" t="str">
        <f t="shared" si="1"/>
        <v>0</v>
      </c>
      <c r="N76" s="10"/>
      <c r="O76" s="10"/>
      <c r="P76" s="10"/>
    </row>
    <row r="77" spans="2:19" ht="15.75" customHeight="1" x14ac:dyDescent="0.25">
      <c r="B77" s="31">
        <v>15</v>
      </c>
      <c r="C77" s="47">
        <f t="shared" si="2"/>
        <v>0</v>
      </c>
      <c r="D77" s="48">
        <f t="shared" si="3"/>
        <v>0</v>
      </c>
      <c r="E77" s="247"/>
      <c r="G77"/>
      <c r="K77" s="234" t="str">
        <f>IF($J$60&gt;K76, 17, "")</f>
        <v/>
      </c>
      <c r="L77" s="235" t="str">
        <f t="shared" si="0"/>
        <v/>
      </c>
      <c r="M77" s="58" t="str">
        <f t="shared" si="1"/>
        <v>0</v>
      </c>
      <c r="N77" s="10"/>
      <c r="O77" s="10"/>
      <c r="P77" s="10"/>
    </row>
    <row r="78" spans="2:19" ht="15.75" customHeight="1" thickBot="1" x14ac:dyDescent="0.3">
      <c r="B78" s="12" t="s">
        <v>39</v>
      </c>
      <c r="C78" s="51">
        <f>SUM(C63:C77)</f>
        <v>0</v>
      </c>
      <c r="D78" s="52">
        <f>SUM(D63:D77)</f>
        <v>0</v>
      </c>
      <c r="E78" s="162"/>
      <c r="F78" s="238"/>
      <c r="G78" s="238"/>
      <c r="K78" s="234" t="str">
        <f>IF($J$60&gt;K77, 18, "")</f>
        <v/>
      </c>
      <c r="L78" s="235" t="str">
        <f t="shared" si="0"/>
        <v/>
      </c>
      <c r="M78" s="58" t="str">
        <f t="shared" si="1"/>
        <v>0</v>
      </c>
      <c r="N78" s="10"/>
      <c r="O78" s="10"/>
      <c r="P78" s="10"/>
    </row>
    <row r="79" spans="2:19" ht="15.75" customHeight="1" x14ac:dyDescent="0.25">
      <c r="B79" s="239"/>
      <c r="C79" s="240"/>
      <c r="D79" s="241"/>
      <c r="E79"/>
      <c r="F79"/>
      <c r="G79"/>
      <c r="K79" s="234" t="str">
        <f>IF($J$60&gt;K78, 19, "")</f>
        <v/>
      </c>
      <c r="L79" s="235" t="str">
        <f t="shared" si="0"/>
        <v/>
      </c>
      <c r="M79" s="58" t="str">
        <f t="shared" si="1"/>
        <v>0</v>
      </c>
      <c r="N79" s="10"/>
      <c r="O79" s="10"/>
      <c r="P79" s="10"/>
    </row>
    <row r="80" spans="2:19" ht="15.75" customHeight="1" thickBot="1" x14ac:dyDescent="0.3">
      <c r="B80" s="242" t="s">
        <v>40</v>
      </c>
      <c r="C80" s="243"/>
      <c r="D80" s="60">
        <v>0.04</v>
      </c>
      <c r="E80"/>
      <c r="F80"/>
      <c r="G80" s="238"/>
      <c r="K80" s="234" t="str">
        <f>IF($J$60&gt;K79, 20, "")</f>
        <v/>
      </c>
      <c r="L80" s="235" t="str">
        <f t="shared" si="0"/>
        <v/>
      </c>
      <c r="M80" s="58" t="str">
        <f t="shared" si="1"/>
        <v>0</v>
      </c>
      <c r="N80" s="10"/>
      <c r="O80" s="10"/>
      <c r="P80" s="10"/>
      <c r="Q80" s="10"/>
      <c r="R80" s="10"/>
      <c r="S80" s="10"/>
    </row>
    <row r="81" spans="1:19" ht="15.75" customHeight="1" x14ac:dyDescent="0.25">
      <c r="B81"/>
      <c r="C81"/>
      <c r="D81"/>
      <c r="E81"/>
      <c r="F81"/>
      <c r="G81"/>
      <c r="K81" s="234" t="str">
        <f>IF($J$60&gt;K80, 21, "")</f>
        <v/>
      </c>
      <c r="L81" s="235" t="str">
        <f t="shared" si="0"/>
        <v/>
      </c>
      <c r="M81" s="58" t="str">
        <f t="shared" si="1"/>
        <v>0</v>
      </c>
      <c r="N81" s="10"/>
      <c r="O81" s="10"/>
      <c r="P81" s="10"/>
      <c r="Q81" s="10"/>
      <c r="R81" s="10"/>
      <c r="S81" s="10"/>
    </row>
    <row r="82" spans="1:19" ht="15.75" customHeight="1" x14ac:dyDescent="0.25">
      <c r="B82"/>
      <c r="C82"/>
      <c r="D82"/>
      <c r="E82"/>
      <c r="F82"/>
      <c r="G82"/>
      <c r="K82" s="234" t="str">
        <f>IF($J$60&gt;K81, 22, "")</f>
        <v/>
      </c>
      <c r="L82" s="235" t="str">
        <f t="shared" si="0"/>
        <v/>
      </c>
      <c r="M82" s="58" t="str">
        <f t="shared" si="1"/>
        <v>0</v>
      </c>
      <c r="N82" s="10"/>
      <c r="O82" s="10"/>
      <c r="P82" s="10"/>
    </row>
    <row r="83" spans="1:19" ht="15.75" customHeight="1" x14ac:dyDescent="0.25">
      <c r="B83"/>
      <c r="C83"/>
      <c r="D83"/>
      <c r="E83"/>
      <c r="F83"/>
      <c r="G83"/>
      <c r="K83" s="234" t="str">
        <f>IF($J$60&gt;K82, 23, "")</f>
        <v/>
      </c>
      <c r="L83" s="235" t="str">
        <f t="shared" si="0"/>
        <v/>
      </c>
      <c r="M83" s="58" t="str">
        <f t="shared" si="1"/>
        <v>0</v>
      </c>
      <c r="N83" s="358"/>
      <c r="O83" s="351"/>
      <c r="P83" s="10"/>
    </row>
    <row r="84" spans="1:19" ht="15.75" customHeight="1" x14ac:dyDescent="0.25">
      <c r="B84"/>
      <c r="C84"/>
      <c r="D84"/>
      <c r="E84"/>
      <c r="F84"/>
      <c r="G84"/>
      <c r="K84" s="234" t="str">
        <f>IF($J$60&gt;K83, 24, "")</f>
        <v/>
      </c>
      <c r="L84" s="235" t="str">
        <f t="shared" si="0"/>
        <v/>
      </c>
      <c r="M84" s="58" t="str">
        <f t="shared" si="1"/>
        <v>0</v>
      </c>
      <c r="N84" s="358"/>
      <c r="O84" s="351"/>
      <c r="P84" s="351"/>
    </row>
    <row r="85" spans="1:19" ht="15.75" customHeight="1" x14ac:dyDescent="0.25">
      <c r="B85"/>
      <c r="C85"/>
      <c r="D85"/>
      <c r="E85"/>
      <c r="F85"/>
      <c r="G85"/>
      <c r="K85" s="234" t="str">
        <f>IF($J$60&gt;K84, 25, "")</f>
        <v/>
      </c>
      <c r="L85" s="235" t="str">
        <f t="shared" si="0"/>
        <v/>
      </c>
      <c r="M85" s="58" t="str">
        <f t="shared" si="1"/>
        <v>0</v>
      </c>
      <c r="N85" s="10"/>
      <c r="O85" s="10"/>
      <c r="P85" s="10"/>
    </row>
    <row r="86" spans="1:19" ht="15.75" customHeight="1" x14ac:dyDescent="0.25">
      <c r="B86"/>
      <c r="C86"/>
      <c r="D86"/>
      <c r="E86"/>
      <c r="F86"/>
      <c r="G86"/>
      <c r="K86" s="234" t="str">
        <f>IF($J$60&gt;K85, 26, "")</f>
        <v/>
      </c>
      <c r="L86" s="235" t="str">
        <f>IF($J$60&gt;=K86,$E$55, "")</f>
        <v/>
      </c>
      <c r="M86" s="58" t="str">
        <f t="shared" si="1"/>
        <v>0</v>
      </c>
      <c r="N86" s="10"/>
      <c r="O86" s="10"/>
      <c r="P86" s="10"/>
    </row>
    <row r="87" spans="1:19" ht="15.75" customHeight="1" x14ac:dyDescent="0.25">
      <c r="A87"/>
      <c r="B87"/>
      <c r="C87"/>
      <c r="D87"/>
      <c r="E87"/>
      <c r="F87"/>
      <c r="G87"/>
      <c r="K87" s="234" t="str">
        <f>IF($J$60&gt;K86, 27, "")</f>
        <v/>
      </c>
      <c r="L87" s="235" t="str">
        <f t="shared" si="0"/>
        <v/>
      </c>
      <c r="M87" s="58" t="str">
        <f t="shared" si="1"/>
        <v>0</v>
      </c>
    </row>
    <row r="88" spans="1:19" ht="15.75" customHeight="1" x14ac:dyDescent="0.25">
      <c r="A88"/>
      <c r="B88"/>
      <c r="C88"/>
      <c r="D88"/>
      <c r="E88"/>
      <c r="F88"/>
      <c r="K88" s="234" t="str">
        <f>IF($J$60&gt;K87, 28, "")</f>
        <v/>
      </c>
      <c r="L88" s="235" t="str">
        <f t="shared" si="0"/>
        <v/>
      </c>
      <c r="M88" s="58" t="str">
        <f t="shared" si="1"/>
        <v>0</v>
      </c>
    </row>
    <row r="89" spans="1:19" ht="15.75" customHeight="1" x14ac:dyDescent="0.25">
      <c r="A89"/>
      <c r="B89"/>
      <c r="C89"/>
      <c r="D89"/>
      <c r="E89"/>
      <c r="F89"/>
      <c r="K89" s="234" t="str">
        <f>IF($J$60&gt;K88, 29, "")</f>
        <v/>
      </c>
      <c r="L89" s="235" t="str">
        <f t="shared" si="0"/>
        <v/>
      </c>
      <c r="M89" s="58" t="str">
        <f t="shared" si="1"/>
        <v>0</v>
      </c>
    </row>
    <row r="90" spans="1:19" ht="15.75" customHeight="1" x14ac:dyDescent="0.25">
      <c r="A90"/>
      <c r="B90"/>
      <c r="C90"/>
      <c r="D90"/>
      <c r="E90"/>
      <c r="F90"/>
      <c r="K90" s="234" t="str">
        <f>IF($J$60&gt;K89, 30, "")</f>
        <v/>
      </c>
      <c r="L90" s="235" t="str">
        <f t="shared" si="0"/>
        <v/>
      </c>
      <c r="M90" s="58" t="str">
        <f t="shared" si="1"/>
        <v>0</v>
      </c>
    </row>
    <row r="91" spans="1:19" ht="15.75" customHeight="1" x14ac:dyDescent="0.25">
      <c r="A91"/>
      <c r="B91"/>
      <c r="C91"/>
      <c r="D91"/>
      <c r="E91"/>
      <c r="F91"/>
      <c r="K91" s="2" t="s">
        <v>39</v>
      </c>
      <c r="L91" s="49">
        <f>SUM(L61:L90)</f>
        <v>0</v>
      </c>
      <c r="M91" s="50">
        <f>SUM(M61:M80)</f>
        <v>0</v>
      </c>
    </row>
    <row r="92" spans="1:19" ht="15.75" customHeight="1" x14ac:dyDescent="0.25">
      <c r="A92"/>
      <c r="B92"/>
      <c r="C92"/>
      <c r="D92"/>
      <c r="E92"/>
      <c r="F92"/>
      <c r="K92" s="245"/>
      <c r="L92" s="246"/>
      <c r="M92" s="28"/>
    </row>
    <row r="93" spans="1:19" ht="15.75" customHeight="1" thickBot="1" x14ac:dyDescent="0.3">
      <c r="A93"/>
      <c r="B93"/>
      <c r="C93"/>
      <c r="D93"/>
      <c r="E93"/>
      <c r="F93"/>
      <c r="K93" s="242" t="s">
        <v>40</v>
      </c>
      <c r="L93" s="243"/>
      <c r="M93" s="60">
        <v>0.04</v>
      </c>
    </row>
    <row r="94" spans="1:19" ht="15" x14ac:dyDescent="0.25">
      <c r="A94"/>
      <c r="B94"/>
      <c r="C94"/>
      <c r="D94"/>
      <c r="E94"/>
      <c r="F94"/>
    </row>
    <row r="95" spans="1:19" ht="14.1" customHeight="1" x14ac:dyDescent="0.2"/>
    <row r="96" spans="1:19" ht="14.1" customHeight="1" x14ac:dyDescent="0.2"/>
    <row r="97" s="27" customFormat="1" ht="14.1" customHeight="1" x14ac:dyDescent="0.2"/>
    <row r="98" s="27" customFormat="1" ht="14.1" customHeight="1" x14ac:dyDescent="0.2"/>
    <row r="99" s="27" customFormat="1" ht="14.1" customHeight="1" x14ac:dyDescent="0.2"/>
    <row r="100" s="27" customFormat="1" ht="14.1" customHeight="1" x14ac:dyDescent="0.2"/>
    <row r="101" s="27" customFormat="1" ht="14.1" customHeight="1" x14ac:dyDescent="0.2"/>
    <row r="102" s="27" customFormat="1" ht="14.1" customHeight="1" x14ac:dyDescent="0.2"/>
    <row r="103" s="27" customFormat="1" ht="14.1" customHeight="1" x14ac:dyDescent="0.2"/>
    <row r="104" s="27" customFormat="1" ht="14.1" customHeight="1" x14ac:dyDescent="0.2"/>
    <row r="105" s="27" customFormat="1" ht="14.1" customHeight="1" x14ac:dyDescent="0.2"/>
    <row r="106" s="27" customFormat="1" ht="14.1" customHeight="1" x14ac:dyDescent="0.2"/>
    <row r="107" s="27" customFormat="1" ht="14.1" customHeight="1" x14ac:dyDescent="0.2"/>
    <row r="108" s="27" customFormat="1" ht="14.1" customHeight="1" x14ac:dyDescent="0.2"/>
    <row r="109" s="27" customFormat="1" ht="14.1" customHeight="1" x14ac:dyDescent="0.2"/>
    <row r="110" s="27" customFormat="1" ht="14.1" customHeight="1" x14ac:dyDescent="0.2"/>
    <row r="111" s="27" customFormat="1" ht="14.1" customHeight="1" x14ac:dyDescent="0.2"/>
    <row r="112" s="27" customFormat="1" ht="14.1" customHeight="1" x14ac:dyDescent="0.2"/>
    <row r="113" s="27" customFormat="1" ht="14.1" customHeight="1" x14ac:dyDescent="0.2"/>
    <row r="114" s="27" customFormat="1" ht="14.1" customHeight="1" x14ac:dyDescent="0.2"/>
    <row r="115" s="27" customFormat="1" ht="14.1" customHeight="1" x14ac:dyDescent="0.2"/>
    <row r="116" s="27" customFormat="1" ht="14.1" customHeight="1" x14ac:dyDescent="0.2"/>
    <row r="117" s="27" customFormat="1" ht="14.1" customHeight="1" x14ac:dyDescent="0.2"/>
    <row r="118" s="27" customFormat="1" ht="14.1" customHeight="1" x14ac:dyDescent="0.2"/>
    <row r="119" s="27" customFormat="1" ht="14.1" customHeight="1" x14ac:dyDescent="0.2"/>
    <row r="120" s="27" customFormat="1" ht="14.1" customHeight="1" x14ac:dyDescent="0.2"/>
    <row r="121" s="27" customFormat="1" ht="14.1" customHeight="1" x14ac:dyDescent="0.2"/>
    <row r="122" s="27" customFormat="1" ht="14.1" customHeight="1" x14ac:dyDescent="0.2"/>
    <row r="123" s="27" customFormat="1" ht="14.1" customHeight="1" x14ac:dyDescent="0.2"/>
    <row r="124" s="27" customFormat="1" ht="14.1" customHeight="1" x14ac:dyDescent="0.2"/>
    <row r="125" s="27" customFormat="1" ht="14.1" customHeight="1" x14ac:dyDescent="0.2"/>
    <row r="126" s="27" customFormat="1" ht="14.1" customHeight="1" x14ac:dyDescent="0.2"/>
    <row r="127" s="27" customFormat="1" ht="14.1" customHeight="1" x14ac:dyDescent="0.2"/>
    <row r="128" s="27" customFormat="1" ht="14.1" customHeight="1" x14ac:dyDescent="0.2"/>
    <row r="129" s="27" customFormat="1" ht="14.1" customHeight="1" x14ac:dyDescent="0.2"/>
    <row r="130" s="27" customFormat="1" ht="14.1" customHeight="1" x14ac:dyDescent="0.2"/>
    <row r="131" s="27" customFormat="1" ht="14.1" customHeight="1" x14ac:dyDescent="0.2"/>
    <row r="132" s="27" customFormat="1" ht="14.1" customHeight="1" x14ac:dyDescent="0.2"/>
    <row r="133" s="27" customFormat="1" ht="14.1" customHeight="1" x14ac:dyDescent="0.2"/>
    <row r="134" s="27" customFormat="1" ht="14.1" customHeight="1" x14ac:dyDescent="0.2"/>
    <row r="135" s="27" customFormat="1" ht="14.1" customHeight="1" x14ac:dyDescent="0.2"/>
    <row r="136" s="27" customFormat="1" ht="14.1" customHeight="1" x14ac:dyDescent="0.2"/>
    <row r="137" s="27" customFormat="1" ht="14.1" customHeight="1" x14ac:dyDescent="0.2"/>
    <row r="138" s="27" customFormat="1" ht="14.1" customHeight="1" x14ac:dyDescent="0.2"/>
    <row r="139" s="27" customFormat="1" ht="14.1" customHeight="1" x14ac:dyDescent="0.2"/>
    <row r="140" s="27" customFormat="1" ht="14.1" customHeight="1" x14ac:dyDescent="0.2"/>
    <row r="141" s="27" customFormat="1" ht="14.1" customHeight="1" x14ac:dyDescent="0.2"/>
    <row r="142" s="27" customFormat="1" ht="14.1" customHeight="1" x14ac:dyDescent="0.2"/>
    <row r="143" s="27" customFormat="1" ht="14.1" customHeight="1" x14ac:dyDescent="0.2"/>
    <row r="144" s="27" customFormat="1" ht="14.1" customHeight="1" x14ac:dyDescent="0.2"/>
    <row r="145" s="27" customFormat="1" ht="14.1" customHeight="1" x14ac:dyDescent="0.2"/>
    <row r="146" s="27" customFormat="1" ht="14.1" customHeight="1" x14ac:dyDescent="0.2"/>
    <row r="147" s="27" customFormat="1" ht="14.1" customHeight="1" x14ac:dyDescent="0.2"/>
    <row r="148" s="27" customFormat="1" ht="14.1" customHeight="1" x14ac:dyDescent="0.2"/>
    <row r="149" s="27" customFormat="1" ht="14.1" customHeight="1" x14ac:dyDescent="0.2"/>
    <row r="150" s="27" customFormat="1" ht="14.1" customHeight="1" x14ac:dyDescent="0.2"/>
    <row r="151" s="27" customFormat="1" ht="14.1" customHeight="1" x14ac:dyDescent="0.2"/>
    <row r="152" s="27" customFormat="1" ht="14.1" customHeight="1" x14ac:dyDescent="0.2"/>
    <row r="153" s="27" customFormat="1" ht="14.1" customHeight="1" x14ac:dyDescent="0.2"/>
    <row r="154" s="27" customFormat="1" ht="14.1" customHeight="1" x14ac:dyDescent="0.2"/>
    <row r="155" s="27" customFormat="1" ht="14.1" customHeight="1" x14ac:dyDescent="0.2"/>
    <row r="156" s="27" customFormat="1" ht="14.1" customHeight="1" x14ac:dyDescent="0.2"/>
    <row r="157" s="27" customFormat="1" ht="14.1" customHeight="1" x14ac:dyDescent="0.2"/>
    <row r="158" s="27" customFormat="1" ht="14.1" customHeight="1" x14ac:dyDescent="0.2"/>
    <row r="159" s="27" customFormat="1" ht="14.1" customHeight="1" x14ac:dyDescent="0.2"/>
    <row r="160" s="27" customFormat="1" ht="14.1" customHeight="1" x14ac:dyDescent="0.2"/>
    <row r="161" s="27" customFormat="1" ht="14.1" customHeight="1" x14ac:dyDescent="0.2"/>
    <row r="162" s="27" customFormat="1" ht="14.1" customHeight="1" x14ac:dyDescent="0.2"/>
    <row r="163" s="27" customFormat="1" ht="14.1" customHeight="1" x14ac:dyDescent="0.2"/>
    <row r="164" s="27" customFormat="1" ht="14.1" customHeight="1" x14ac:dyDescent="0.2"/>
    <row r="165" s="27" customFormat="1" ht="14.1" customHeight="1" x14ac:dyDescent="0.2"/>
    <row r="166" s="27" customFormat="1" ht="14.1" customHeight="1" x14ac:dyDescent="0.2"/>
    <row r="167" s="27" customFormat="1" ht="14.1" customHeight="1" x14ac:dyDescent="0.2"/>
    <row r="168" s="27" customFormat="1" ht="14.1" customHeight="1" x14ac:dyDescent="0.2"/>
    <row r="169" s="27" customFormat="1" ht="14.1" customHeight="1" x14ac:dyDescent="0.2"/>
    <row r="170" s="27" customFormat="1" ht="14.1" customHeight="1" x14ac:dyDescent="0.2"/>
    <row r="171" s="27" customFormat="1" ht="14.1" customHeight="1" x14ac:dyDescent="0.2"/>
    <row r="172" s="27" customFormat="1" ht="14.1" customHeight="1" x14ac:dyDescent="0.2"/>
    <row r="173" s="27" customFormat="1" ht="14.1" customHeight="1" x14ac:dyDescent="0.2"/>
    <row r="174" s="27" customFormat="1" ht="14.1" customHeight="1" x14ac:dyDescent="0.2"/>
    <row r="175" s="27" customFormat="1" ht="14.1" customHeight="1" x14ac:dyDescent="0.2"/>
    <row r="176" s="27" customFormat="1" ht="14.1" customHeight="1" x14ac:dyDescent="0.2"/>
    <row r="177" s="27" customFormat="1" ht="14.1" customHeight="1" x14ac:dyDescent="0.2"/>
    <row r="178" s="27" customFormat="1" ht="14.1" customHeight="1" x14ac:dyDescent="0.2"/>
    <row r="179" s="27" customFormat="1" ht="14.1" customHeight="1" x14ac:dyDescent="0.2"/>
    <row r="180" s="27" customFormat="1" ht="14.1" customHeight="1" x14ac:dyDescent="0.2"/>
    <row r="181" s="27" customFormat="1" ht="14.1" customHeight="1" x14ac:dyDescent="0.2"/>
    <row r="182" s="27" customFormat="1" ht="14.1" customHeight="1" x14ac:dyDescent="0.2"/>
    <row r="183" s="27" customFormat="1" ht="14.1" customHeight="1" x14ac:dyDescent="0.2"/>
    <row r="184" s="27" customFormat="1" ht="14.1" customHeight="1" x14ac:dyDescent="0.2"/>
    <row r="185" s="27" customFormat="1" ht="14.1" customHeight="1" x14ac:dyDescent="0.2"/>
    <row r="186" s="27" customFormat="1" ht="14.1" customHeight="1" x14ac:dyDescent="0.2"/>
    <row r="187" s="27" customFormat="1" ht="14.1" customHeight="1" x14ac:dyDescent="0.2"/>
    <row r="188" s="27" customFormat="1" ht="14.1" customHeight="1" x14ac:dyDescent="0.2"/>
    <row r="189" s="27" customFormat="1" ht="14.1" customHeight="1" x14ac:dyDescent="0.2"/>
    <row r="190" s="27" customFormat="1" ht="14.1" customHeight="1" x14ac:dyDescent="0.2"/>
    <row r="191" s="27" customFormat="1" ht="14.1" customHeight="1" x14ac:dyDescent="0.2"/>
  </sheetData>
  <sheetProtection sheet="1" selectLockedCells="1"/>
  <mergeCells count="5">
    <mergeCell ref="B6:C6"/>
    <mergeCell ref="B8:C8"/>
    <mergeCell ref="N65:P65"/>
    <mergeCell ref="N83:O83"/>
    <mergeCell ref="N84:P84"/>
  </mergeCells>
  <pageMargins left="0.25" right="0.25" top="0.75" bottom="0.75" header="0.3" footer="0.3"/>
  <pageSetup paperSize="9" scale="46" fitToHeight="0" orientation="portrait" r:id="rId1"/>
  <headerFooter>
    <oddFooter>&amp;L&amp;A&amp;R&amp;P/&amp;N</oddFooter>
  </headerFooter>
  <rowBreaks count="1" manualBreakCount="1">
    <brk id="52" max="12" man="1"/>
  </rowBreaks>
  <colBreaks count="1" manualBreakCount="1">
    <brk id="8" max="121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8A5AA96-FCF0-4EF1-A988-57448F900772}">
          <x14:formula1>
            <xm:f>'Osnovni podatki'!$B$6:$B$40</xm:f>
          </x14:formula1>
          <xm:sqref>D6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AC8D6-258F-4901-82E2-A99165AD1974}">
  <sheetPr>
    <tabColor rgb="FFFFFF00"/>
    <pageSetUpPr fitToPage="1"/>
  </sheetPr>
  <dimension ref="A1:Y191"/>
  <sheetViews>
    <sheetView showGridLines="0" view="pageBreakPreview" zoomScale="85" zoomScaleNormal="100" zoomScaleSheetLayoutView="85" workbookViewId="0">
      <selection activeCell="D11" sqref="D11"/>
    </sheetView>
  </sheetViews>
  <sheetFormatPr defaultColWidth="9.140625" defaultRowHeight="12.75" x14ac:dyDescent="0.2"/>
  <cols>
    <col min="1" max="1" width="4.85546875" style="27" customWidth="1"/>
    <col min="2" max="2" width="43.5703125" style="27" customWidth="1"/>
    <col min="3" max="3" width="15" style="27" customWidth="1"/>
    <col min="4" max="4" width="18.85546875" style="27" customWidth="1"/>
    <col min="5" max="8" width="15" style="27" customWidth="1"/>
    <col min="9" max="9" width="8.28515625" style="27" customWidth="1"/>
    <col min="10" max="10" width="14.7109375" style="27" customWidth="1"/>
    <col min="11" max="11" width="13.85546875" style="27" customWidth="1"/>
    <col min="12" max="12" width="15.5703125" style="27" customWidth="1"/>
    <col min="13" max="13" width="16.140625" style="27" customWidth="1"/>
    <col min="14" max="14" width="18.42578125" style="27" customWidth="1"/>
    <col min="15" max="15" width="14.7109375" style="27" bestFit="1" customWidth="1"/>
    <col min="16" max="16" width="9.140625" style="27" customWidth="1"/>
    <col min="17" max="24" width="9.140625" style="27"/>
    <col min="25" max="25" width="14.5703125" style="27" bestFit="1" customWidth="1"/>
    <col min="26" max="16384" width="9.140625" style="27"/>
  </cols>
  <sheetData>
    <row r="1" spans="2:13" ht="14.1" customHeight="1" x14ac:dyDescent="0.2">
      <c r="B1" s="11"/>
      <c r="E1" s="11"/>
    </row>
    <row r="2" spans="2:13" ht="28.35" customHeight="1" x14ac:dyDescent="0.2">
      <c r="B2" s="53" t="s">
        <v>31</v>
      </c>
    </row>
    <row r="3" spans="2:13" ht="14.1" customHeight="1" x14ac:dyDescent="0.2"/>
    <row r="4" spans="2:13" ht="19.7" customHeight="1" thickBot="1" x14ac:dyDescent="0.25">
      <c r="B4" s="55" t="s">
        <v>2</v>
      </c>
    </row>
    <row r="5" spans="2:13" ht="18" customHeight="1" x14ac:dyDescent="0.2">
      <c r="B5" s="1" t="s">
        <v>32</v>
      </c>
      <c r="C5" s="29"/>
      <c r="D5" s="30"/>
    </row>
    <row r="6" spans="2:13" ht="18" customHeight="1" x14ac:dyDescent="0.2">
      <c r="B6" s="352" t="s">
        <v>6</v>
      </c>
      <c r="C6" s="353"/>
      <c r="D6" s="28">
        <v>9</v>
      </c>
      <c r="H6" s="154"/>
      <c r="J6" s="154"/>
      <c r="K6" s="154"/>
    </row>
    <row r="7" spans="2:13" ht="18" customHeight="1" x14ac:dyDescent="0.2">
      <c r="B7" s="155" t="s">
        <v>7</v>
      </c>
      <c r="C7" s="156"/>
      <c r="D7" s="157" t="str">
        <f ca="1">MID(CELL("filename", A1), FIND("]", CELL("filename", A1)) + 1, LEN(CELL("filename", A1)) - FIND("]", CELL("filename", A1)))</f>
        <v>IS09</v>
      </c>
      <c r="H7" s="154"/>
      <c r="J7" s="154"/>
      <c r="K7" s="154"/>
    </row>
    <row r="8" spans="2:13" ht="30" customHeight="1" thickBot="1" x14ac:dyDescent="0.25">
      <c r="B8" s="354" t="s">
        <v>58</v>
      </c>
      <c r="C8" s="355"/>
      <c r="D8" s="158" t="str">
        <f>INDEX('Referenčne količine'!$B$4:$M$12,MATCH($B8,('Referenčne količine'!$B$4:$B$12),0),MATCH($D$6,'Referenčne količine'!$B$5:$M$5,0))</f>
        <v>SE Osnovna šola Dobova 1</v>
      </c>
      <c r="H8" s="154"/>
      <c r="J8" s="154"/>
      <c r="K8" s="154"/>
    </row>
    <row r="9" spans="2:13" ht="18.75" customHeight="1" x14ac:dyDescent="0.25">
      <c r="B9" s="159" t="s">
        <v>215</v>
      </c>
      <c r="C9" s="160"/>
      <c r="D9" s="161"/>
      <c r="H9" s="154"/>
      <c r="J9"/>
      <c r="K9" s="162"/>
      <c r="L9"/>
      <c r="M9"/>
    </row>
    <row r="10" spans="2:13" ht="18.75" customHeight="1" x14ac:dyDescent="0.25">
      <c r="B10" s="163" t="s">
        <v>62</v>
      </c>
      <c r="C10" s="164" t="s">
        <v>60</v>
      </c>
      <c r="D10" s="165">
        <f>INDEX('Referenčne količine'!$B$9:$M$12,MATCH(B10,('Referenčne količine'!$B$9:$B$12),0),MATCH($D$6,'Referenčne količine'!$B$5:$M$5,0))</f>
        <v>26</v>
      </c>
      <c r="H10" s="154"/>
      <c r="J10"/>
      <c r="K10" s="162"/>
      <c r="L10"/>
      <c r="M10"/>
    </row>
    <row r="11" spans="2:13" ht="18.75" customHeight="1" x14ac:dyDescent="0.25">
      <c r="B11" s="163" t="s">
        <v>148</v>
      </c>
      <c r="C11" s="164" t="s">
        <v>46</v>
      </c>
      <c r="D11" s="80"/>
      <c r="H11" s="154"/>
      <c r="J11" s="162"/>
      <c r="K11" s="162"/>
      <c r="L11"/>
      <c r="M11"/>
    </row>
    <row r="12" spans="2:13" ht="18.75" customHeight="1" x14ac:dyDescent="0.25">
      <c r="B12" s="163" t="s">
        <v>64</v>
      </c>
      <c r="C12" s="164" t="s">
        <v>27</v>
      </c>
      <c r="D12" s="165">
        <f>INDEX('Referenčne količine'!$B$9:$M$12,MATCH(B12,('Referenčne količine'!$B$9:$B$12),0),MATCH($D$6,'Referenčne količine'!$B$5:$M$5,0))</f>
        <v>0</v>
      </c>
      <c r="J12"/>
      <c r="K12"/>
      <c r="L12"/>
      <c r="M12"/>
    </row>
    <row r="13" spans="2:13" ht="18.75" customHeight="1" x14ac:dyDescent="0.25">
      <c r="B13" s="163" t="s">
        <v>65</v>
      </c>
      <c r="C13" s="164" t="s">
        <v>61</v>
      </c>
      <c r="D13" s="165">
        <f>INDEX('Referenčne količine'!$B$9:$M$12,MATCH(B13,('Referenčne količine'!$B$9:$B$12),0),MATCH($D$6,'Referenčne količine'!$B$5:$M$5,0))</f>
        <v>0</v>
      </c>
      <c r="J13"/>
      <c r="K13"/>
      <c r="L13"/>
      <c r="M13"/>
    </row>
    <row r="14" spans="2:13" ht="18.75" customHeight="1" thickBot="1" x14ac:dyDescent="0.3">
      <c r="B14" s="166" t="s">
        <v>145</v>
      </c>
      <c r="C14" s="167" t="s">
        <v>27</v>
      </c>
      <c r="D14" s="153"/>
      <c r="J14"/>
      <c r="K14"/>
      <c r="L14"/>
      <c r="M14"/>
    </row>
    <row r="15" spans="2:13" ht="18.75" customHeight="1" x14ac:dyDescent="0.25">
      <c r="B15" s="168" t="s">
        <v>77</v>
      </c>
      <c r="C15" s="169"/>
      <c r="D15" s="170"/>
      <c r="J15"/>
      <c r="K15"/>
      <c r="L15"/>
      <c r="M15"/>
    </row>
    <row r="16" spans="2:13" ht="18.75" customHeight="1" x14ac:dyDescent="0.25">
      <c r="B16" s="171" t="s">
        <v>140</v>
      </c>
      <c r="C16" s="172" t="s">
        <v>141</v>
      </c>
      <c r="D16" s="28">
        <f>IFERROR(VLOOKUP(D$6,'Osnovni podatki'!$B$6:$I$41,7,FALSE),"")</f>
        <v>25.52</v>
      </c>
      <c r="J16"/>
      <c r="K16"/>
      <c r="L16"/>
      <c r="M16"/>
    </row>
    <row r="17" spans="2:13" ht="18.75" customHeight="1" x14ac:dyDescent="0.25">
      <c r="B17" s="171" t="s">
        <v>77</v>
      </c>
      <c r="C17" s="172" t="s">
        <v>28</v>
      </c>
      <c r="D17" s="78"/>
      <c r="G17" s="173"/>
      <c r="J17"/>
      <c r="K17"/>
      <c r="L17"/>
      <c r="M17"/>
    </row>
    <row r="18" spans="2:13" ht="18.75" customHeight="1" x14ac:dyDescent="0.25">
      <c r="B18" s="171" t="s">
        <v>79</v>
      </c>
      <c r="C18" s="172" t="s">
        <v>28</v>
      </c>
      <c r="D18" s="79">
        <f>D16*358</f>
        <v>9136.16</v>
      </c>
      <c r="J18"/>
      <c r="K18"/>
      <c r="L18"/>
      <c r="M18"/>
    </row>
    <row r="19" spans="2:13" ht="18.75" customHeight="1" x14ac:dyDescent="0.25">
      <c r="B19" s="174" t="s">
        <v>147</v>
      </c>
      <c r="C19" s="175" t="s">
        <v>146</v>
      </c>
      <c r="D19" s="91"/>
      <c r="J19"/>
      <c r="K19"/>
      <c r="L19"/>
      <c r="M19"/>
    </row>
    <row r="20" spans="2:13" ht="18.75" customHeight="1" x14ac:dyDescent="0.25">
      <c r="B20" s="174" t="s">
        <v>200</v>
      </c>
      <c r="C20" s="175" t="s">
        <v>28</v>
      </c>
      <c r="D20" s="176">
        <f>D17-D18-D21</f>
        <v>-9136.16</v>
      </c>
      <c r="J20"/>
      <c r="K20"/>
      <c r="L20"/>
      <c r="M20"/>
    </row>
    <row r="21" spans="2:13" ht="18.75" customHeight="1" thickBot="1" x14ac:dyDescent="0.3">
      <c r="B21" s="174" t="s">
        <v>202</v>
      </c>
      <c r="C21" s="175" t="s">
        <v>28</v>
      </c>
      <c r="D21" s="165">
        <f>D17*D19</f>
        <v>0</v>
      </c>
      <c r="J21"/>
      <c r="K21"/>
      <c r="L21"/>
      <c r="M21"/>
    </row>
    <row r="22" spans="2:13" ht="18.75" customHeight="1" x14ac:dyDescent="0.25">
      <c r="B22" s="177" t="s">
        <v>66</v>
      </c>
      <c r="C22" s="178"/>
      <c r="D22" s="179"/>
      <c r="J22"/>
      <c r="K22"/>
      <c r="L22"/>
      <c r="M22"/>
    </row>
    <row r="23" spans="2:13" ht="18.75" customHeight="1" x14ac:dyDescent="0.25">
      <c r="B23" s="180" t="s">
        <v>67</v>
      </c>
      <c r="C23" s="181" t="s">
        <v>60</v>
      </c>
      <c r="D23" s="85"/>
      <c r="J23"/>
      <c r="K23"/>
      <c r="L23"/>
      <c r="M23"/>
    </row>
    <row r="24" spans="2:13" ht="18.75" customHeight="1" x14ac:dyDescent="0.25">
      <c r="B24" s="182" t="s">
        <v>137</v>
      </c>
      <c r="C24" s="183" t="s">
        <v>60</v>
      </c>
      <c r="D24" s="80"/>
      <c r="J24"/>
      <c r="K24"/>
      <c r="L24"/>
      <c r="M24"/>
    </row>
    <row r="25" spans="2:13" ht="18.75" customHeight="1" x14ac:dyDescent="0.25">
      <c r="B25" s="182" t="s">
        <v>138</v>
      </c>
      <c r="C25" s="183" t="s">
        <v>60</v>
      </c>
      <c r="D25" s="80"/>
      <c r="J25"/>
      <c r="K25"/>
      <c r="L25"/>
      <c r="M25"/>
    </row>
    <row r="26" spans="2:13" ht="18.75" customHeight="1" thickBot="1" x14ac:dyDescent="0.3">
      <c r="B26" s="184" t="s">
        <v>198</v>
      </c>
      <c r="C26" s="185" t="s">
        <v>60</v>
      </c>
      <c r="D26" s="186">
        <f>D10-D24</f>
        <v>26</v>
      </c>
      <c r="J26"/>
      <c r="K26"/>
      <c r="L26"/>
      <c r="M26"/>
    </row>
    <row r="27" spans="2:13" ht="18.75" customHeight="1" x14ac:dyDescent="0.25">
      <c r="B27" s="187" t="s">
        <v>29</v>
      </c>
      <c r="C27" s="188"/>
      <c r="D27" s="189"/>
      <c r="J27"/>
      <c r="K27"/>
      <c r="L27"/>
      <c r="M27"/>
    </row>
    <row r="28" spans="2:13" ht="18.75" customHeight="1" x14ac:dyDescent="0.25">
      <c r="B28" s="190" t="s">
        <v>216</v>
      </c>
      <c r="C28" s="191" t="s">
        <v>197</v>
      </c>
      <c r="D28" s="84"/>
      <c r="J28"/>
      <c r="K28"/>
      <c r="L28"/>
      <c r="M28"/>
    </row>
    <row r="29" spans="2:13" ht="18.75" customHeight="1" thickBot="1" x14ac:dyDescent="0.3">
      <c r="B29" s="192" t="s">
        <v>76</v>
      </c>
      <c r="C29" s="193" t="s">
        <v>61</v>
      </c>
      <c r="D29" s="194">
        <f>D16*D28</f>
        <v>0</v>
      </c>
      <c r="J29"/>
      <c r="K29"/>
      <c r="L29"/>
      <c r="M29"/>
    </row>
    <row r="30" spans="2:13" ht="18.75" customHeight="1" x14ac:dyDescent="0.25">
      <c r="B30" s="195" t="s">
        <v>199</v>
      </c>
      <c r="C30" s="196"/>
      <c r="D30" s="197"/>
      <c r="J30"/>
      <c r="K30"/>
      <c r="L30"/>
      <c r="M30"/>
    </row>
    <row r="31" spans="2:13" ht="18.75" customHeight="1" thickBot="1" x14ac:dyDescent="0.3">
      <c r="B31" s="198" t="s">
        <v>143</v>
      </c>
      <c r="C31" s="199" t="s">
        <v>27</v>
      </c>
      <c r="D31" s="83"/>
      <c r="J31"/>
      <c r="K31"/>
      <c r="L31"/>
      <c r="M31"/>
    </row>
    <row r="32" spans="2:13" ht="18.75" customHeight="1" x14ac:dyDescent="0.2">
      <c r="B32" s="200" t="s">
        <v>203</v>
      </c>
      <c r="C32" s="201"/>
      <c r="D32" s="202"/>
    </row>
    <row r="33" spans="2:6" ht="18.75" customHeight="1" x14ac:dyDescent="0.2">
      <c r="B33" s="203" t="s">
        <v>30</v>
      </c>
      <c r="C33" s="204" t="s">
        <v>61</v>
      </c>
      <c r="D33" s="165">
        <f>D13</f>
        <v>0</v>
      </c>
      <c r="E33" s="154"/>
    </row>
    <row r="34" spans="2:6" ht="18.75" customHeight="1" thickBot="1" x14ac:dyDescent="0.25">
      <c r="B34" s="205" t="s">
        <v>144</v>
      </c>
      <c r="C34" s="206" t="s">
        <v>61</v>
      </c>
      <c r="D34" s="194">
        <f>D10*D31</f>
        <v>0</v>
      </c>
    </row>
    <row r="35" spans="2:6" ht="18.75" customHeight="1" x14ac:dyDescent="0.2">
      <c r="B35" s="207" t="s">
        <v>204</v>
      </c>
      <c r="C35" s="208"/>
      <c r="D35" s="209"/>
    </row>
    <row r="36" spans="2:6" ht="18.75" customHeight="1" x14ac:dyDescent="0.2">
      <c r="B36" s="210" t="s">
        <v>205</v>
      </c>
      <c r="C36" s="211" t="s">
        <v>60</v>
      </c>
      <c r="D36" s="165">
        <f>D23*D11</f>
        <v>0</v>
      </c>
    </row>
    <row r="37" spans="2:6" ht="18.75" customHeight="1" x14ac:dyDescent="0.2">
      <c r="B37" s="210" t="s">
        <v>206</v>
      </c>
      <c r="C37" s="211" t="s">
        <v>146</v>
      </c>
      <c r="D37" s="212" t="e">
        <f>D24/D23</f>
        <v>#DIV/0!</v>
      </c>
    </row>
    <row r="38" spans="2:6" ht="18.75" customHeight="1" x14ac:dyDescent="0.2">
      <c r="B38" s="210" t="s">
        <v>70</v>
      </c>
      <c r="C38" s="211" t="s">
        <v>27</v>
      </c>
      <c r="D38" s="165">
        <f>D31</f>
        <v>0</v>
      </c>
    </row>
    <row r="39" spans="2:6" ht="18.75" customHeight="1" x14ac:dyDescent="0.2">
      <c r="B39" s="210" t="s">
        <v>207</v>
      </c>
      <c r="C39" s="211" t="s">
        <v>208</v>
      </c>
      <c r="D39" s="213">
        <f>J60</f>
        <v>10</v>
      </c>
    </row>
    <row r="40" spans="2:6" ht="18.75" customHeight="1" thickBot="1" x14ac:dyDescent="0.25">
      <c r="B40" s="214" t="s">
        <v>210</v>
      </c>
      <c r="C40" s="215" t="s">
        <v>28</v>
      </c>
      <c r="D40" s="194">
        <f>D20</f>
        <v>-9136.16</v>
      </c>
      <c r="F40" s="154"/>
    </row>
    <row r="41" spans="2:6" ht="14.1" customHeight="1" x14ac:dyDescent="0.2">
      <c r="F41" s="154"/>
    </row>
    <row r="42" spans="2:6" ht="14.1" customHeight="1" x14ac:dyDescent="0.2">
      <c r="B42" s="216"/>
      <c r="F42" s="154"/>
    </row>
    <row r="43" spans="2:6" ht="14.1" customHeight="1" x14ac:dyDescent="0.2">
      <c r="B43" s="216" t="s">
        <v>209</v>
      </c>
    </row>
    <row r="44" spans="2:6" ht="14.1" customHeight="1" x14ac:dyDescent="0.2">
      <c r="B44" s="27" t="s">
        <v>211</v>
      </c>
    </row>
    <row r="45" spans="2:6" ht="14.1" customHeight="1" x14ac:dyDescent="0.2">
      <c r="B45" s="27" t="s">
        <v>212</v>
      </c>
    </row>
    <row r="46" spans="2:6" ht="14.1" customHeight="1" x14ac:dyDescent="0.2">
      <c r="B46" s="27" t="s">
        <v>213</v>
      </c>
    </row>
    <row r="47" spans="2:6" ht="14.1" customHeight="1" x14ac:dyDescent="0.2">
      <c r="B47" s="27" t="s">
        <v>214</v>
      </c>
    </row>
    <row r="48" spans="2:6" ht="14.1" customHeight="1" x14ac:dyDescent="0.2"/>
    <row r="49" spans="1:25" ht="14.1" customHeight="1" x14ac:dyDescent="0.2"/>
    <row r="50" spans="1:25" ht="14.1" customHeight="1" x14ac:dyDescent="0.2"/>
    <row r="51" spans="1:25" ht="14.1" customHeight="1" x14ac:dyDescent="0.2">
      <c r="N51" s="10"/>
      <c r="O51" s="10"/>
      <c r="P51" s="10"/>
    </row>
    <row r="52" spans="1:25" ht="14.1" customHeight="1" x14ac:dyDescent="0.2">
      <c r="N52" s="10"/>
      <c r="O52" s="10"/>
      <c r="P52" s="10"/>
    </row>
    <row r="53" spans="1:25" ht="17.100000000000001" customHeight="1" thickBot="1" x14ac:dyDescent="0.25">
      <c r="B53" s="55"/>
      <c r="N53" s="10"/>
      <c r="O53" s="10"/>
      <c r="P53" s="10"/>
    </row>
    <row r="54" spans="1:25" ht="17.100000000000001" customHeight="1" x14ac:dyDescent="0.2">
      <c r="B54" s="217" t="s">
        <v>43</v>
      </c>
      <c r="C54" s="218"/>
      <c r="D54" s="218"/>
      <c r="E54" s="219" t="s">
        <v>217</v>
      </c>
      <c r="F54" s="219" t="s">
        <v>201</v>
      </c>
      <c r="G54" s="220" t="s">
        <v>24</v>
      </c>
      <c r="N54" s="221"/>
      <c r="O54" s="221"/>
      <c r="P54" s="10"/>
      <c r="Y54" s="222"/>
    </row>
    <row r="55" spans="1:25" ht="17.100000000000001" customHeight="1" x14ac:dyDescent="0.25">
      <c r="A55"/>
      <c r="B55" s="223" t="s">
        <v>78</v>
      </c>
      <c r="C55" s="224"/>
      <c r="D55" s="225" t="s">
        <v>61</v>
      </c>
      <c r="E55" s="92">
        <f>D24*D12+D25*D14-D29</f>
        <v>0</v>
      </c>
      <c r="F55" s="92">
        <f>D33-D34</f>
        <v>0</v>
      </c>
      <c r="G55" s="56">
        <f>D31*D10-(D26*D12-D25*D14)-D16*D28</f>
        <v>0</v>
      </c>
      <c r="H55" s="154"/>
      <c r="N55" s="221"/>
      <c r="O55" s="221"/>
      <c r="P55" s="10"/>
      <c r="Y55" s="222"/>
    </row>
    <row r="56" spans="1:25" ht="14.1" customHeight="1" x14ac:dyDescent="0.25">
      <c r="A56"/>
      <c r="B56" s="226" t="s">
        <v>44</v>
      </c>
      <c r="C56" s="227"/>
      <c r="D56" s="225" t="s">
        <v>28</v>
      </c>
      <c r="E56" s="92">
        <f>D78</f>
        <v>0</v>
      </c>
      <c r="F56" s="92" t="e">
        <f>F55/E55*E56</f>
        <v>#DIV/0!</v>
      </c>
      <c r="G56" s="56" t="e">
        <f>G55/E55*E56</f>
        <v>#DIV/0!</v>
      </c>
      <c r="H56" s="154"/>
      <c r="N56" s="221"/>
      <c r="O56" s="221"/>
      <c r="P56" s="10"/>
      <c r="Y56" s="222"/>
    </row>
    <row r="57" spans="1:25" ht="17.100000000000001" customHeight="1" x14ac:dyDescent="0.25">
      <c r="A57"/>
      <c r="B57" s="226" t="s">
        <v>45</v>
      </c>
      <c r="C57" s="227"/>
      <c r="D57" s="225" t="s">
        <v>28</v>
      </c>
      <c r="E57" s="92">
        <f>M91</f>
        <v>0</v>
      </c>
      <c r="F57" s="92" t="e">
        <f>F55/E55*E57</f>
        <v>#DIV/0!</v>
      </c>
      <c r="G57" s="56" t="e">
        <f>G55/E55*E57</f>
        <v>#DIV/0!</v>
      </c>
      <c r="H57" s="154"/>
      <c r="N57" s="221"/>
      <c r="O57" s="221"/>
      <c r="P57" s="10"/>
      <c r="Y57" s="222"/>
    </row>
    <row r="58" spans="1:25" ht="17.100000000000001" customHeight="1" thickBot="1" x14ac:dyDescent="0.3">
      <c r="A58"/>
      <c r="B58" s="228" t="s">
        <v>80</v>
      </c>
      <c r="C58" s="229"/>
      <c r="D58" s="230" t="s">
        <v>28</v>
      </c>
      <c r="E58" s="93">
        <f>D17-D18</f>
        <v>-9136.16</v>
      </c>
      <c r="F58" s="93">
        <f>D20</f>
        <v>-9136.16</v>
      </c>
      <c r="G58" s="94">
        <f>D21</f>
        <v>0</v>
      </c>
      <c r="H58" s="154"/>
      <c r="N58" s="221"/>
      <c r="O58" s="221"/>
      <c r="P58" s="10"/>
      <c r="Y58" s="222"/>
    </row>
    <row r="59" spans="1:25" ht="30.75" thickBot="1" x14ac:dyDescent="0.3">
      <c r="A59"/>
      <c r="B59"/>
      <c r="C59"/>
      <c r="D59"/>
      <c r="E59"/>
      <c r="J59" s="231" t="s">
        <v>41</v>
      </c>
      <c r="K59" s="24" t="s">
        <v>42</v>
      </c>
      <c r="L59" s="25"/>
      <c r="M59" s="26"/>
      <c r="N59" s="221"/>
      <c r="O59" s="221"/>
      <c r="P59" s="10"/>
      <c r="Y59" s="222"/>
    </row>
    <row r="60" spans="1:25" ht="17.100000000000001" customHeight="1" thickBot="1" x14ac:dyDescent="0.3">
      <c r="A60"/>
      <c r="B60" s="55" t="s">
        <v>34</v>
      </c>
      <c r="E60"/>
      <c r="J60" s="54">
        <f>'IS01'!J60</f>
        <v>10</v>
      </c>
      <c r="K60" s="21" t="s">
        <v>36</v>
      </c>
      <c r="L60" s="22" t="s">
        <v>37</v>
      </c>
      <c r="M60" s="23" t="s">
        <v>38</v>
      </c>
      <c r="N60" s="10"/>
      <c r="O60" s="10"/>
      <c r="P60" s="10"/>
      <c r="Y60" s="216"/>
    </row>
    <row r="61" spans="1:25" ht="15.75" customHeight="1" x14ac:dyDescent="0.25">
      <c r="A61"/>
      <c r="B61" s="13" t="s">
        <v>35</v>
      </c>
      <c r="C61" s="14"/>
      <c r="D61" s="15"/>
      <c r="E61"/>
      <c r="K61" s="232">
        <f>IF($J$60&gt;0, 1, "")</f>
        <v>1</v>
      </c>
      <c r="L61" s="233">
        <f t="shared" ref="L61:L90" si="0">IF($J$60&gt;=K61,$E$55, "")</f>
        <v>0</v>
      </c>
      <c r="M61" s="57">
        <f t="shared" ref="M61:M90" si="1">IF($J$60&gt;=K61,L61/((1+$M$93)^K61), "0")</f>
        <v>0</v>
      </c>
      <c r="N61" s="10"/>
      <c r="O61" s="10"/>
      <c r="P61" s="10"/>
      <c r="Y61" s="216"/>
    </row>
    <row r="62" spans="1:25" ht="15.75" customHeight="1" x14ac:dyDescent="0.25">
      <c r="A62"/>
      <c r="B62" s="2" t="s">
        <v>36</v>
      </c>
      <c r="C62" s="3" t="s">
        <v>37</v>
      </c>
      <c r="D62" s="4" t="s">
        <v>38</v>
      </c>
      <c r="E62"/>
      <c r="K62" s="234">
        <f>IF($J$60&gt;K61, 2, "")</f>
        <v>2</v>
      </c>
      <c r="L62" s="235">
        <f t="shared" si="0"/>
        <v>0</v>
      </c>
      <c r="M62" s="58">
        <f t="shared" si="1"/>
        <v>0</v>
      </c>
      <c r="N62" s="10"/>
      <c r="O62" s="10"/>
      <c r="P62" s="10"/>
      <c r="Y62" s="216"/>
    </row>
    <row r="63" spans="1:25" ht="15.75" customHeight="1" x14ac:dyDescent="0.25">
      <c r="A63"/>
      <c r="B63" s="31">
        <v>1</v>
      </c>
      <c r="C63" s="47">
        <f t="shared" ref="C63:C77" si="2">$E$55</f>
        <v>0</v>
      </c>
      <c r="D63" s="48">
        <f t="shared" ref="D63:D77" si="3">C63/((1+$D$80)^B63)</f>
        <v>0</v>
      </c>
      <c r="E63" s="162"/>
      <c r="K63" s="234">
        <f>IF($J$60&gt;K62,3, "")</f>
        <v>3</v>
      </c>
      <c r="L63" s="235">
        <f t="shared" si="0"/>
        <v>0</v>
      </c>
      <c r="M63" s="58">
        <f t="shared" si="1"/>
        <v>0</v>
      </c>
      <c r="N63" s="236"/>
      <c r="O63" s="236"/>
      <c r="P63" s="10"/>
      <c r="Y63" s="237"/>
    </row>
    <row r="64" spans="1:25" ht="15.75" customHeight="1" x14ac:dyDescent="0.2">
      <c r="B64" s="31">
        <v>2</v>
      </c>
      <c r="C64" s="47">
        <f t="shared" si="2"/>
        <v>0</v>
      </c>
      <c r="D64" s="48">
        <f t="shared" si="3"/>
        <v>0</v>
      </c>
      <c r="E64" s="247"/>
      <c r="K64" s="234">
        <f>IF($J$60&gt;K63, 4, "")</f>
        <v>4</v>
      </c>
      <c r="L64" s="235">
        <f t="shared" si="0"/>
        <v>0</v>
      </c>
      <c r="M64" s="58">
        <f t="shared" si="1"/>
        <v>0</v>
      </c>
      <c r="N64" s="10"/>
      <c r="O64" s="10"/>
      <c r="P64" s="10"/>
    </row>
    <row r="65" spans="2:19" ht="15.75" customHeight="1" x14ac:dyDescent="0.2">
      <c r="B65" s="31">
        <v>3</v>
      </c>
      <c r="C65" s="47">
        <f t="shared" si="2"/>
        <v>0</v>
      </c>
      <c r="D65" s="48">
        <f t="shared" si="3"/>
        <v>0</v>
      </c>
      <c r="E65" s="247"/>
      <c r="K65" s="234">
        <f>IF($J$60&gt;K64, 5, "")</f>
        <v>5</v>
      </c>
      <c r="L65" s="235">
        <f t="shared" si="0"/>
        <v>0</v>
      </c>
      <c r="M65" s="58">
        <f t="shared" si="1"/>
        <v>0</v>
      </c>
      <c r="N65" s="351"/>
      <c r="O65" s="351"/>
      <c r="P65" s="351"/>
    </row>
    <row r="66" spans="2:19" ht="15.75" customHeight="1" x14ac:dyDescent="0.2">
      <c r="B66" s="31">
        <v>4</v>
      </c>
      <c r="C66" s="47">
        <f t="shared" si="2"/>
        <v>0</v>
      </c>
      <c r="D66" s="48">
        <f t="shared" si="3"/>
        <v>0</v>
      </c>
      <c r="E66" s="247"/>
      <c r="G66" s="59"/>
      <c r="K66" s="234">
        <f>IF($J$60&gt;K65, 6, "")</f>
        <v>6</v>
      </c>
      <c r="L66" s="235">
        <f t="shared" si="0"/>
        <v>0</v>
      </c>
      <c r="M66" s="58">
        <f t="shared" si="1"/>
        <v>0</v>
      </c>
      <c r="N66" s="10"/>
      <c r="O66" s="10"/>
      <c r="P66" s="10"/>
    </row>
    <row r="67" spans="2:19" ht="15.75" customHeight="1" x14ac:dyDescent="0.2">
      <c r="B67" s="31">
        <v>5</v>
      </c>
      <c r="C67" s="47">
        <f t="shared" si="2"/>
        <v>0</v>
      </c>
      <c r="D67" s="48">
        <f t="shared" si="3"/>
        <v>0</v>
      </c>
      <c r="E67" s="247"/>
      <c r="I67" s="10"/>
      <c r="K67" s="234">
        <f>IF($J$60&gt;K66, 7, "")</f>
        <v>7</v>
      </c>
      <c r="L67" s="235">
        <f t="shared" si="0"/>
        <v>0</v>
      </c>
      <c r="M67" s="58">
        <f t="shared" si="1"/>
        <v>0</v>
      </c>
      <c r="N67" s="10"/>
      <c r="O67" s="10"/>
      <c r="P67" s="10"/>
    </row>
    <row r="68" spans="2:19" ht="15.75" customHeight="1" x14ac:dyDescent="0.2">
      <c r="B68" s="31">
        <v>6</v>
      </c>
      <c r="C68" s="47">
        <f t="shared" si="2"/>
        <v>0</v>
      </c>
      <c r="D68" s="48">
        <f t="shared" si="3"/>
        <v>0</v>
      </c>
      <c r="E68" s="247"/>
      <c r="I68" s="10"/>
      <c r="K68" s="234">
        <f>IF($J$60&gt;K67, 8, "")</f>
        <v>8</v>
      </c>
      <c r="L68" s="235">
        <f t="shared" si="0"/>
        <v>0</v>
      </c>
      <c r="M68" s="58">
        <f t="shared" si="1"/>
        <v>0</v>
      </c>
      <c r="N68" s="10"/>
      <c r="O68" s="10"/>
      <c r="P68" s="10"/>
      <c r="Q68" s="10"/>
      <c r="R68" s="10"/>
      <c r="S68" s="10"/>
    </row>
    <row r="69" spans="2:19" ht="15.75" customHeight="1" x14ac:dyDescent="0.2">
      <c r="B69" s="31">
        <v>7</v>
      </c>
      <c r="C69" s="47">
        <f t="shared" si="2"/>
        <v>0</v>
      </c>
      <c r="D69" s="48">
        <f t="shared" si="3"/>
        <v>0</v>
      </c>
      <c r="E69" s="247"/>
      <c r="K69" s="234">
        <f>IF($J$60&gt;K68, 9, "")</f>
        <v>9</v>
      </c>
      <c r="L69" s="235">
        <f t="shared" si="0"/>
        <v>0</v>
      </c>
      <c r="M69" s="58">
        <f t="shared" si="1"/>
        <v>0</v>
      </c>
      <c r="N69" s="10"/>
      <c r="O69" s="10"/>
      <c r="P69" s="10"/>
      <c r="Q69" s="10"/>
      <c r="R69" s="10"/>
      <c r="S69" s="10"/>
    </row>
    <row r="70" spans="2:19" ht="15.75" customHeight="1" x14ac:dyDescent="0.2">
      <c r="B70" s="31">
        <v>8</v>
      </c>
      <c r="C70" s="47">
        <f t="shared" si="2"/>
        <v>0</v>
      </c>
      <c r="D70" s="48">
        <f t="shared" si="3"/>
        <v>0</v>
      </c>
      <c r="E70" s="247"/>
      <c r="K70" s="234">
        <f>IF($J$60&gt;K69, 10, "")</f>
        <v>10</v>
      </c>
      <c r="L70" s="235">
        <f t="shared" si="0"/>
        <v>0</v>
      </c>
      <c r="M70" s="58">
        <f t="shared" si="1"/>
        <v>0</v>
      </c>
      <c r="N70" s="10"/>
      <c r="O70" s="10"/>
      <c r="P70" s="10"/>
    </row>
    <row r="71" spans="2:19" ht="15.75" customHeight="1" x14ac:dyDescent="0.2">
      <c r="B71" s="31">
        <v>9</v>
      </c>
      <c r="C71" s="47">
        <f t="shared" si="2"/>
        <v>0</v>
      </c>
      <c r="D71" s="48">
        <f t="shared" si="3"/>
        <v>0</v>
      </c>
      <c r="E71" s="247"/>
      <c r="K71" s="234" t="str">
        <f>IF($J$60&gt;K70, 11, "")</f>
        <v/>
      </c>
      <c r="L71" s="235" t="str">
        <f t="shared" si="0"/>
        <v/>
      </c>
      <c r="M71" s="58" t="str">
        <f t="shared" si="1"/>
        <v>0</v>
      </c>
      <c r="N71" s="10"/>
      <c r="O71" s="10"/>
      <c r="P71" s="10"/>
    </row>
    <row r="72" spans="2:19" ht="15.75" customHeight="1" x14ac:dyDescent="0.2">
      <c r="B72" s="31">
        <v>10</v>
      </c>
      <c r="C72" s="47">
        <f t="shared" si="2"/>
        <v>0</v>
      </c>
      <c r="D72" s="48">
        <f t="shared" si="3"/>
        <v>0</v>
      </c>
      <c r="E72" s="247"/>
      <c r="K72" s="234" t="str">
        <f>IF($J$60&gt;K71, 12, "")</f>
        <v/>
      </c>
      <c r="L72" s="235" t="str">
        <f t="shared" si="0"/>
        <v/>
      </c>
      <c r="M72" s="58" t="str">
        <f t="shared" si="1"/>
        <v>0</v>
      </c>
      <c r="N72" s="10"/>
      <c r="O72" s="10"/>
      <c r="P72" s="10"/>
    </row>
    <row r="73" spans="2:19" ht="15.75" customHeight="1" x14ac:dyDescent="0.2">
      <c r="B73" s="31">
        <v>11</v>
      </c>
      <c r="C73" s="47">
        <f t="shared" si="2"/>
        <v>0</v>
      </c>
      <c r="D73" s="48">
        <f t="shared" si="3"/>
        <v>0</v>
      </c>
      <c r="E73" s="247"/>
      <c r="K73" s="234" t="str">
        <f>IF($J$60&gt;K72, 13, "")</f>
        <v/>
      </c>
      <c r="L73" s="235" t="str">
        <f t="shared" si="0"/>
        <v/>
      </c>
      <c r="M73" s="58" t="str">
        <f t="shared" si="1"/>
        <v>0</v>
      </c>
      <c r="N73" s="10"/>
      <c r="O73" s="10"/>
      <c r="P73" s="10"/>
    </row>
    <row r="74" spans="2:19" ht="15.75" customHeight="1" x14ac:dyDescent="0.2">
      <c r="B74" s="31">
        <v>12</v>
      </c>
      <c r="C74" s="47">
        <f t="shared" si="2"/>
        <v>0</v>
      </c>
      <c r="D74" s="48">
        <f t="shared" si="3"/>
        <v>0</v>
      </c>
      <c r="E74" s="247"/>
      <c r="K74" s="234" t="str">
        <f>IF($J$60&gt;K73, 14, "")</f>
        <v/>
      </c>
      <c r="L74" s="235" t="str">
        <f t="shared" si="0"/>
        <v/>
      </c>
      <c r="M74" s="58" t="str">
        <f t="shared" si="1"/>
        <v>0</v>
      </c>
      <c r="N74" s="10"/>
      <c r="O74" s="10"/>
      <c r="P74" s="10"/>
    </row>
    <row r="75" spans="2:19" ht="15.75" customHeight="1" x14ac:dyDescent="0.2">
      <c r="B75" s="31">
        <v>13</v>
      </c>
      <c r="C75" s="47">
        <f t="shared" si="2"/>
        <v>0</v>
      </c>
      <c r="D75" s="48">
        <f t="shared" si="3"/>
        <v>0</v>
      </c>
      <c r="E75" s="247"/>
      <c r="K75" s="234" t="str">
        <f>IF($J$60&gt;K74, 15, "")</f>
        <v/>
      </c>
      <c r="L75" s="235" t="str">
        <f t="shared" si="0"/>
        <v/>
      </c>
      <c r="M75" s="58" t="str">
        <f t="shared" si="1"/>
        <v>0</v>
      </c>
      <c r="N75" s="10"/>
      <c r="O75" s="10"/>
      <c r="P75" s="10"/>
    </row>
    <row r="76" spans="2:19" ht="15.75" customHeight="1" x14ac:dyDescent="0.25">
      <c r="B76" s="31">
        <v>14</v>
      </c>
      <c r="C76" s="47">
        <f t="shared" si="2"/>
        <v>0</v>
      </c>
      <c r="D76" s="48">
        <f t="shared" si="3"/>
        <v>0</v>
      </c>
      <c r="E76" s="247"/>
      <c r="G76"/>
      <c r="K76" s="234" t="str">
        <f>IF($J$60&gt;K75, 16, "")</f>
        <v/>
      </c>
      <c r="L76" s="235" t="str">
        <f t="shared" si="0"/>
        <v/>
      </c>
      <c r="M76" s="58" t="str">
        <f t="shared" si="1"/>
        <v>0</v>
      </c>
      <c r="N76" s="10"/>
      <c r="O76" s="10"/>
      <c r="P76" s="10"/>
    </row>
    <row r="77" spans="2:19" ht="15.75" customHeight="1" x14ac:dyDescent="0.25">
      <c r="B77" s="31">
        <v>15</v>
      </c>
      <c r="C77" s="47">
        <f t="shared" si="2"/>
        <v>0</v>
      </c>
      <c r="D77" s="48">
        <f t="shared" si="3"/>
        <v>0</v>
      </c>
      <c r="E77" s="247"/>
      <c r="G77"/>
      <c r="K77" s="234" t="str">
        <f>IF($J$60&gt;K76, 17, "")</f>
        <v/>
      </c>
      <c r="L77" s="235" t="str">
        <f t="shared" si="0"/>
        <v/>
      </c>
      <c r="M77" s="58" t="str">
        <f t="shared" si="1"/>
        <v>0</v>
      </c>
      <c r="N77" s="10"/>
      <c r="O77" s="10"/>
      <c r="P77" s="10"/>
    </row>
    <row r="78" spans="2:19" ht="15.75" customHeight="1" thickBot="1" x14ac:dyDescent="0.3">
      <c r="B78" s="12" t="s">
        <v>39</v>
      </c>
      <c r="C78" s="51">
        <f>SUM(C63:C77)</f>
        <v>0</v>
      </c>
      <c r="D78" s="52">
        <f>SUM(D63:D77)</f>
        <v>0</v>
      </c>
      <c r="E78" s="162"/>
      <c r="F78" s="238"/>
      <c r="G78" s="238"/>
      <c r="K78" s="234" t="str">
        <f>IF($J$60&gt;K77, 18, "")</f>
        <v/>
      </c>
      <c r="L78" s="235" t="str">
        <f t="shared" si="0"/>
        <v/>
      </c>
      <c r="M78" s="58" t="str">
        <f t="shared" si="1"/>
        <v>0</v>
      </c>
      <c r="N78" s="10"/>
      <c r="O78" s="10"/>
      <c r="P78" s="10"/>
    </row>
    <row r="79" spans="2:19" ht="15.75" customHeight="1" x14ac:dyDescent="0.25">
      <c r="B79" s="239"/>
      <c r="C79" s="240"/>
      <c r="D79" s="241"/>
      <c r="E79"/>
      <c r="F79"/>
      <c r="G79"/>
      <c r="K79" s="234" t="str">
        <f>IF($J$60&gt;K78, 19, "")</f>
        <v/>
      </c>
      <c r="L79" s="235" t="str">
        <f t="shared" si="0"/>
        <v/>
      </c>
      <c r="M79" s="58" t="str">
        <f t="shared" si="1"/>
        <v>0</v>
      </c>
      <c r="N79" s="10"/>
      <c r="O79" s="10"/>
      <c r="P79" s="10"/>
    </row>
    <row r="80" spans="2:19" ht="15.75" customHeight="1" thickBot="1" x14ac:dyDescent="0.3">
      <c r="B80" s="242" t="s">
        <v>40</v>
      </c>
      <c r="C80" s="243"/>
      <c r="D80" s="60">
        <v>0.04</v>
      </c>
      <c r="E80"/>
      <c r="F80"/>
      <c r="G80" s="238"/>
      <c r="K80" s="234" t="str">
        <f>IF($J$60&gt;K79, 20, "")</f>
        <v/>
      </c>
      <c r="L80" s="235" t="str">
        <f t="shared" si="0"/>
        <v/>
      </c>
      <c r="M80" s="58" t="str">
        <f t="shared" si="1"/>
        <v>0</v>
      </c>
      <c r="N80" s="10"/>
      <c r="O80" s="10"/>
      <c r="P80" s="10"/>
      <c r="Q80" s="10"/>
      <c r="R80" s="10"/>
      <c r="S80" s="10"/>
    </row>
    <row r="81" spans="1:19" ht="15.75" customHeight="1" x14ac:dyDescent="0.25">
      <c r="B81"/>
      <c r="C81"/>
      <c r="D81"/>
      <c r="E81"/>
      <c r="F81"/>
      <c r="G81"/>
      <c r="K81" s="234" t="str">
        <f>IF($J$60&gt;K80, 21, "")</f>
        <v/>
      </c>
      <c r="L81" s="235" t="str">
        <f t="shared" si="0"/>
        <v/>
      </c>
      <c r="M81" s="58" t="str">
        <f t="shared" si="1"/>
        <v>0</v>
      </c>
      <c r="N81" s="10"/>
      <c r="O81" s="10"/>
      <c r="P81" s="10"/>
      <c r="Q81" s="10"/>
      <c r="R81" s="10"/>
      <c r="S81" s="10"/>
    </row>
    <row r="82" spans="1:19" ht="15.75" customHeight="1" x14ac:dyDescent="0.25">
      <c r="B82"/>
      <c r="C82"/>
      <c r="D82"/>
      <c r="E82"/>
      <c r="F82"/>
      <c r="G82"/>
      <c r="K82" s="234" t="str">
        <f>IF($J$60&gt;K81, 22, "")</f>
        <v/>
      </c>
      <c r="L82" s="235" t="str">
        <f t="shared" si="0"/>
        <v/>
      </c>
      <c r="M82" s="58" t="str">
        <f t="shared" si="1"/>
        <v>0</v>
      </c>
      <c r="N82" s="10"/>
      <c r="O82" s="10"/>
      <c r="P82" s="10"/>
    </row>
    <row r="83" spans="1:19" ht="15.75" customHeight="1" x14ac:dyDescent="0.25">
      <c r="B83"/>
      <c r="C83"/>
      <c r="D83"/>
      <c r="E83"/>
      <c r="F83"/>
      <c r="G83"/>
      <c r="K83" s="234" t="str">
        <f>IF($J$60&gt;K82, 23, "")</f>
        <v/>
      </c>
      <c r="L83" s="235" t="str">
        <f t="shared" si="0"/>
        <v/>
      </c>
      <c r="M83" s="58" t="str">
        <f t="shared" si="1"/>
        <v>0</v>
      </c>
      <c r="N83" s="351"/>
      <c r="O83" s="351"/>
      <c r="P83" s="10"/>
    </row>
    <row r="84" spans="1:19" ht="15.75" customHeight="1" x14ac:dyDescent="0.25">
      <c r="B84"/>
      <c r="C84"/>
      <c r="D84"/>
      <c r="E84"/>
      <c r="F84"/>
      <c r="G84"/>
      <c r="K84" s="234" t="str">
        <f>IF($J$60&gt;K83, 24, "")</f>
        <v/>
      </c>
      <c r="L84" s="235" t="str">
        <f t="shared" si="0"/>
        <v/>
      </c>
      <c r="M84" s="58" t="str">
        <f t="shared" si="1"/>
        <v>0</v>
      </c>
      <c r="N84" s="351"/>
      <c r="O84" s="351"/>
      <c r="P84" s="351"/>
    </row>
    <row r="85" spans="1:19" ht="15.75" customHeight="1" x14ac:dyDescent="0.25">
      <c r="B85"/>
      <c r="C85"/>
      <c r="D85"/>
      <c r="E85"/>
      <c r="F85"/>
      <c r="G85"/>
      <c r="K85" s="234" t="str">
        <f>IF($J$60&gt;K84, 25, "")</f>
        <v/>
      </c>
      <c r="L85" s="235" t="str">
        <f t="shared" si="0"/>
        <v/>
      </c>
      <c r="M85" s="58" t="str">
        <f t="shared" si="1"/>
        <v>0</v>
      </c>
      <c r="N85" s="10"/>
      <c r="O85" s="10"/>
      <c r="P85" s="10"/>
    </row>
    <row r="86" spans="1:19" ht="15.75" customHeight="1" x14ac:dyDescent="0.25">
      <c r="B86"/>
      <c r="C86"/>
      <c r="D86"/>
      <c r="E86"/>
      <c r="F86"/>
      <c r="G86"/>
      <c r="K86" s="234" t="str">
        <f>IF($J$60&gt;K85, 26, "")</f>
        <v/>
      </c>
      <c r="L86" s="235" t="str">
        <f>IF($J$60&gt;=K86,$E$55, "")</f>
        <v/>
      </c>
      <c r="M86" s="58" t="str">
        <f t="shared" si="1"/>
        <v>0</v>
      </c>
      <c r="N86" s="10"/>
      <c r="O86" s="10"/>
      <c r="P86" s="10"/>
    </row>
    <row r="87" spans="1:19" ht="15.75" customHeight="1" x14ac:dyDescent="0.25">
      <c r="A87"/>
      <c r="B87"/>
      <c r="C87"/>
      <c r="D87"/>
      <c r="E87"/>
      <c r="F87"/>
      <c r="G87"/>
      <c r="K87" s="234" t="str">
        <f>IF($J$60&gt;K86, 27, "")</f>
        <v/>
      </c>
      <c r="L87" s="235" t="str">
        <f t="shared" si="0"/>
        <v/>
      </c>
      <c r="M87" s="58" t="str">
        <f t="shared" si="1"/>
        <v>0</v>
      </c>
    </row>
    <row r="88" spans="1:19" ht="15.75" customHeight="1" x14ac:dyDescent="0.25">
      <c r="A88"/>
      <c r="B88"/>
      <c r="C88"/>
      <c r="D88"/>
      <c r="E88"/>
      <c r="F88"/>
      <c r="K88" s="234" t="str">
        <f>IF($J$60&gt;K87, 28, "")</f>
        <v/>
      </c>
      <c r="L88" s="235" t="str">
        <f t="shared" si="0"/>
        <v/>
      </c>
      <c r="M88" s="58" t="str">
        <f t="shared" si="1"/>
        <v>0</v>
      </c>
    </row>
    <row r="89" spans="1:19" ht="15.75" customHeight="1" x14ac:dyDescent="0.25">
      <c r="A89"/>
      <c r="B89"/>
      <c r="C89"/>
      <c r="D89"/>
      <c r="E89"/>
      <c r="F89"/>
      <c r="K89" s="234" t="str">
        <f>IF($J$60&gt;K88, 29, "")</f>
        <v/>
      </c>
      <c r="L89" s="235" t="str">
        <f t="shared" si="0"/>
        <v/>
      </c>
      <c r="M89" s="58" t="str">
        <f t="shared" si="1"/>
        <v>0</v>
      </c>
    </row>
    <row r="90" spans="1:19" ht="15.75" customHeight="1" x14ac:dyDescent="0.25">
      <c r="A90"/>
      <c r="B90"/>
      <c r="C90"/>
      <c r="D90"/>
      <c r="E90"/>
      <c r="F90"/>
      <c r="K90" s="234" t="str">
        <f>IF($J$60&gt;K89, 30, "")</f>
        <v/>
      </c>
      <c r="L90" s="235" t="str">
        <f t="shared" si="0"/>
        <v/>
      </c>
      <c r="M90" s="58" t="str">
        <f t="shared" si="1"/>
        <v>0</v>
      </c>
    </row>
    <row r="91" spans="1:19" ht="15.75" customHeight="1" x14ac:dyDescent="0.25">
      <c r="A91"/>
      <c r="B91"/>
      <c r="C91"/>
      <c r="D91"/>
      <c r="E91"/>
      <c r="F91"/>
      <c r="K91" s="2" t="s">
        <v>39</v>
      </c>
      <c r="L91" s="49">
        <f>SUM(L61:L90)</f>
        <v>0</v>
      </c>
      <c r="M91" s="50">
        <f>SUM(M61:M80)</f>
        <v>0</v>
      </c>
    </row>
    <row r="92" spans="1:19" ht="15.75" customHeight="1" x14ac:dyDescent="0.25">
      <c r="A92"/>
      <c r="B92"/>
      <c r="C92"/>
      <c r="D92"/>
      <c r="E92"/>
      <c r="F92"/>
      <c r="K92" s="245"/>
      <c r="L92" s="246"/>
      <c r="M92" s="28"/>
    </row>
    <row r="93" spans="1:19" ht="15.75" customHeight="1" thickBot="1" x14ac:dyDescent="0.3">
      <c r="A93"/>
      <c r="B93"/>
      <c r="C93"/>
      <c r="D93"/>
      <c r="E93"/>
      <c r="F93"/>
      <c r="K93" s="242" t="s">
        <v>40</v>
      </c>
      <c r="L93" s="243"/>
      <c r="M93" s="60">
        <v>0.04</v>
      </c>
    </row>
    <row r="94" spans="1:19" ht="15" x14ac:dyDescent="0.25">
      <c r="A94"/>
      <c r="B94"/>
      <c r="C94"/>
      <c r="D94"/>
      <c r="E94"/>
      <c r="F94"/>
    </row>
    <row r="95" spans="1:19" ht="14.1" customHeight="1" x14ac:dyDescent="0.2"/>
    <row r="96" spans="1:19" ht="14.1" customHeight="1" x14ac:dyDescent="0.2"/>
    <row r="97" s="27" customFormat="1" ht="14.1" customHeight="1" x14ac:dyDescent="0.2"/>
    <row r="98" s="27" customFormat="1" ht="14.1" customHeight="1" x14ac:dyDescent="0.2"/>
    <row r="99" s="27" customFormat="1" ht="14.1" customHeight="1" x14ac:dyDescent="0.2"/>
    <row r="100" s="27" customFormat="1" ht="14.1" customHeight="1" x14ac:dyDescent="0.2"/>
    <row r="101" s="27" customFormat="1" ht="14.1" customHeight="1" x14ac:dyDescent="0.2"/>
    <row r="102" s="27" customFormat="1" ht="14.1" customHeight="1" x14ac:dyDescent="0.2"/>
    <row r="103" s="27" customFormat="1" ht="14.1" customHeight="1" x14ac:dyDescent="0.2"/>
    <row r="104" s="27" customFormat="1" ht="14.1" customHeight="1" x14ac:dyDescent="0.2"/>
    <row r="105" s="27" customFormat="1" ht="14.1" customHeight="1" x14ac:dyDescent="0.2"/>
    <row r="106" s="27" customFormat="1" ht="14.1" customHeight="1" x14ac:dyDescent="0.2"/>
    <row r="107" s="27" customFormat="1" ht="14.1" customHeight="1" x14ac:dyDescent="0.2"/>
    <row r="108" s="27" customFormat="1" ht="14.1" customHeight="1" x14ac:dyDescent="0.2"/>
    <row r="109" s="27" customFormat="1" ht="14.1" customHeight="1" x14ac:dyDescent="0.2"/>
    <row r="110" s="27" customFormat="1" ht="14.1" customHeight="1" x14ac:dyDescent="0.2"/>
    <row r="111" s="27" customFormat="1" ht="14.1" customHeight="1" x14ac:dyDescent="0.2"/>
    <row r="112" s="27" customFormat="1" ht="14.1" customHeight="1" x14ac:dyDescent="0.2"/>
    <row r="113" s="27" customFormat="1" ht="14.1" customHeight="1" x14ac:dyDescent="0.2"/>
    <row r="114" s="27" customFormat="1" ht="14.1" customHeight="1" x14ac:dyDescent="0.2"/>
    <row r="115" s="27" customFormat="1" ht="14.1" customHeight="1" x14ac:dyDescent="0.2"/>
    <row r="116" s="27" customFormat="1" ht="14.1" customHeight="1" x14ac:dyDescent="0.2"/>
    <row r="117" s="27" customFormat="1" ht="14.1" customHeight="1" x14ac:dyDescent="0.2"/>
    <row r="118" s="27" customFormat="1" ht="14.1" customHeight="1" x14ac:dyDescent="0.2"/>
    <row r="119" s="27" customFormat="1" ht="14.1" customHeight="1" x14ac:dyDescent="0.2"/>
    <row r="120" s="27" customFormat="1" ht="14.1" customHeight="1" x14ac:dyDescent="0.2"/>
    <row r="121" s="27" customFormat="1" ht="14.1" customHeight="1" x14ac:dyDescent="0.2"/>
    <row r="122" s="27" customFormat="1" ht="14.1" customHeight="1" x14ac:dyDescent="0.2"/>
    <row r="123" s="27" customFormat="1" ht="14.1" customHeight="1" x14ac:dyDescent="0.2"/>
    <row r="124" s="27" customFormat="1" ht="14.1" customHeight="1" x14ac:dyDescent="0.2"/>
    <row r="125" s="27" customFormat="1" ht="14.1" customHeight="1" x14ac:dyDescent="0.2"/>
    <row r="126" s="27" customFormat="1" ht="14.1" customHeight="1" x14ac:dyDescent="0.2"/>
    <row r="127" s="27" customFormat="1" ht="14.1" customHeight="1" x14ac:dyDescent="0.2"/>
    <row r="128" s="27" customFormat="1" ht="14.1" customHeight="1" x14ac:dyDescent="0.2"/>
    <row r="129" s="27" customFormat="1" ht="14.1" customHeight="1" x14ac:dyDescent="0.2"/>
    <row r="130" s="27" customFormat="1" ht="14.1" customHeight="1" x14ac:dyDescent="0.2"/>
    <row r="131" s="27" customFormat="1" ht="14.1" customHeight="1" x14ac:dyDescent="0.2"/>
    <row r="132" s="27" customFormat="1" ht="14.1" customHeight="1" x14ac:dyDescent="0.2"/>
    <row r="133" s="27" customFormat="1" ht="14.1" customHeight="1" x14ac:dyDescent="0.2"/>
    <row r="134" s="27" customFormat="1" ht="14.1" customHeight="1" x14ac:dyDescent="0.2"/>
    <row r="135" s="27" customFormat="1" ht="14.1" customHeight="1" x14ac:dyDescent="0.2"/>
    <row r="136" s="27" customFormat="1" ht="14.1" customHeight="1" x14ac:dyDescent="0.2"/>
    <row r="137" s="27" customFormat="1" ht="14.1" customHeight="1" x14ac:dyDescent="0.2"/>
    <row r="138" s="27" customFormat="1" ht="14.1" customHeight="1" x14ac:dyDescent="0.2"/>
    <row r="139" s="27" customFormat="1" ht="14.1" customHeight="1" x14ac:dyDescent="0.2"/>
    <row r="140" s="27" customFormat="1" ht="14.1" customHeight="1" x14ac:dyDescent="0.2"/>
    <row r="141" s="27" customFormat="1" ht="14.1" customHeight="1" x14ac:dyDescent="0.2"/>
    <row r="142" s="27" customFormat="1" ht="14.1" customHeight="1" x14ac:dyDescent="0.2"/>
    <row r="143" s="27" customFormat="1" ht="14.1" customHeight="1" x14ac:dyDescent="0.2"/>
    <row r="144" s="27" customFormat="1" ht="14.1" customHeight="1" x14ac:dyDescent="0.2"/>
    <row r="145" s="27" customFormat="1" ht="14.1" customHeight="1" x14ac:dyDescent="0.2"/>
    <row r="146" s="27" customFormat="1" ht="14.1" customHeight="1" x14ac:dyDescent="0.2"/>
    <row r="147" s="27" customFormat="1" ht="14.1" customHeight="1" x14ac:dyDescent="0.2"/>
    <row r="148" s="27" customFormat="1" ht="14.1" customHeight="1" x14ac:dyDescent="0.2"/>
    <row r="149" s="27" customFormat="1" ht="14.1" customHeight="1" x14ac:dyDescent="0.2"/>
    <row r="150" s="27" customFormat="1" ht="14.1" customHeight="1" x14ac:dyDescent="0.2"/>
    <row r="151" s="27" customFormat="1" ht="14.1" customHeight="1" x14ac:dyDescent="0.2"/>
    <row r="152" s="27" customFormat="1" ht="14.1" customHeight="1" x14ac:dyDescent="0.2"/>
    <row r="153" s="27" customFormat="1" ht="14.1" customHeight="1" x14ac:dyDescent="0.2"/>
    <row r="154" s="27" customFormat="1" ht="14.1" customHeight="1" x14ac:dyDescent="0.2"/>
    <row r="155" s="27" customFormat="1" ht="14.1" customHeight="1" x14ac:dyDescent="0.2"/>
    <row r="156" s="27" customFormat="1" ht="14.1" customHeight="1" x14ac:dyDescent="0.2"/>
    <row r="157" s="27" customFormat="1" ht="14.1" customHeight="1" x14ac:dyDescent="0.2"/>
    <row r="158" s="27" customFormat="1" ht="14.1" customHeight="1" x14ac:dyDescent="0.2"/>
    <row r="159" s="27" customFormat="1" ht="14.1" customHeight="1" x14ac:dyDescent="0.2"/>
    <row r="160" s="27" customFormat="1" ht="14.1" customHeight="1" x14ac:dyDescent="0.2"/>
    <row r="161" s="27" customFormat="1" ht="14.1" customHeight="1" x14ac:dyDescent="0.2"/>
    <row r="162" s="27" customFormat="1" ht="14.1" customHeight="1" x14ac:dyDescent="0.2"/>
    <row r="163" s="27" customFormat="1" ht="14.1" customHeight="1" x14ac:dyDescent="0.2"/>
    <row r="164" s="27" customFormat="1" ht="14.1" customHeight="1" x14ac:dyDescent="0.2"/>
    <row r="165" s="27" customFormat="1" ht="14.1" customHeight="1" x14ac:dyDescent="0.2"/>
    <row r="166" s="27" customFormat="1" ht="14.1" customHeight="1" x14ac:dyDescent="0.2"/>
    <row r="167" s="27" customFormat="1" ht="14.1" customHeight="1" x14ac:dyDescent="0.2"/>
    <row r="168" s="27" customFormat="1" ht="14.1" customHeight="1" x14ac:dyDescent="0.2"/>
    <row r="169" s="27" customFormat="1" ht="14.1" customHeight="1" x14ac:dyDescent="0.2"/>
    <row r="170" s="27" customFormat="1" ht="14.1" customHeight="1" x14ac:dyDescent="0.2"/>
    <row r="171" s="27" customFormat="1" ht="14.1" customHeight="1" x14ac:dyDescent="0.2"/>
    <row r="172" s="27" customFormat="1" ht="14.1" customHeight="1" x14ac:dyDescent="0.2"/>
    <row r="173" s="27" customFormat="1" ht="14.1" customHeight="1" x14ac:dyDescent="0.2"/>
    <row r="174" s="27" customFormat="1" ht="14.1" customHeight="1" x14ac:dyDescent="0.2"/>
    <row r="175" s="27" customFormat="1" ht="14.1" customHeight="1" x14ac:dyDescent="0.2"/>
    <row r="176" s="27" customFormat="1" ht="14.1" customHeight="1" x14ac:dyDescent="0.2"/>
    <row r="177" s="27" customFormat="1" ht="14.1" customHeight="1" x14ac:dyDescent="0.2"/>
    <row r="178" s="27" customFormat="1" ht="14.1" customHeight="1" x14ac:dyDescent="0.2"/>
    <row r="179" s="27" customFormat="1" ht="14.1" customHeight="1" x14ac:dyDescent="0.2"/>
    <row r="180" s="27" customFormat="1" ht="14.1" customHeight="1" x14ac:dyDescent="0.2"/>
    <row r="181" s="27" customFormat="1" ht="14.1" customHeight="1" x14ac:dyDescent="0.2"/>
    <row r="182" s="27" customFormat="1" ht="14.1" customHeight="1" x14ac:dyDescent="0.2"/>
    <row r="183" s="27" customFormat="1" ht="14.1" customHeight="1" x14ac:dyDescent="0.2"/>
    <row r="184" s="27" customFormat="1" ht="14.1" customHeight="1" x14ac:dyDescent="0.2"/>
    <row r="185" s="27" customFormat="1" ht="14.1" customHeight="1" x14ac:dyDescent="0.2"/>
    <row r="186" s="27" customFormat="1" ht="14.1" customHeight="1" x14ac:dyDescent="0.2"/>
    <row r="187" s="27" customFormat="1" ht="14.1" customHeight="1" x14ac:dyDescent="0.2"/>
    <row r="188" s="27" customFormat="1" ht="14.1" customHeight="1" x14ac:dyDescent="0.2"/>
    <row r="189" s="27" customFormat="1" ht="14.1" customHeight="1" x14ac:dyDescent="0.2"/>
    <row r="190" s="27" customFormat="1" ht="14.1" customHeight="1" x14ac:dyDescent="0.2"/>
    <row r="191" s="27" customFormat="1" ht="14.1" customHeight="1" x14ac:dyDescent="0.2"/>
  </sheetData>
  <sheetProtection sheet="1" selectLockedCells="1"/>
  <mergeCells count="5">
    <mergeCell ref="B6:C6"/>
    <mergeCell ref="B8:C8"/>
    <mergeCell ref="N65:P65"/>
    <mergeCell ref="N83:O83"/>
    <mergeCell ref="N84:P84"/>
  </mergeCells>
  <pageMargins left="0.25" right="0.25" top="0.75" bottom="0.75" header="0.3" footer="0.3"/>
  <pageSetup paperSize="9" scale="46" fitToHeight="0" orientation="portrait" r:id="rId1"/>
  <headerFooter>
    <oddFooter>&amp;L&amp;A&amp;R&amp;P/&amp;N</oddFooter>
  </headerFooter>
  <rowBreaks count="1" manualBreakCount="1">
    <brk id="52" max="12" man="1"/>
  </rowBreaks>
  <colBreaks count="1" manualBreakCount="1">
    <brk id="8" max="121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A5090E8-7631-4F17-AD2B-5502A703C30D}">
          <x14:formula1>
            <xm:f>'Osnovni podatki'!$B$6:$B$40</xm:f>
          </x14:formula1>
          <xm:sqref>D6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39E64-F1C8-433B-803D-BD259FB588DF}">
  <sheetPr>
    <tabColor rgb="FFFFFF00"/>
    <pageSetUpPr fitToPage="1"/>
  </sheetPr>
  <dimension ref="A1:Y191"/>
  <sheetViews>
    <sheetView showGridLines="0" view="pageBreakPreview" zoomScale="85" zoomScaleNormal="100" zoomScaleSheetLayoutView="85" workbookViewId="0">
      <selection activeCell="D11" sqref="D11"/>
    </sheetView>
  </sheetViews>
  <sheetFormatPr defaultColWidth="9.140625" defaultRowHeight="12.75" x14ac:dyDescent="0.2"/>
  <cols>
    <col min="1" max="1" width="4.85546875" style="27" customWidth="1"/>
    <col min="2" max="2" width="43.5703125" style="27" customWidth="1"/>
    <col min="3" max="3" width="15" style="27" customWidth="1"/>
    <col min="4" max="4" width="18.85546875" style="27" customWidth="1"/>
    <col min="5" max="8" width="15" style="27" customWidth="1"/>
    <col min="9" max="9" width="8.28515625" style="27" customWidth="1"/>
    <col min="10" max="10" width="14.7109375" style="27" customWidth="1"/>
    <col min="11" max="11" width="13.85546875" style="27" customWidth="1"/>
    <col min="12" max="12" width="15.5703125" style="27" customWidth="1"/>
    <col min="13" max="13" width="16.140625" style="27" customWidth="1"/>
    <col min="14" max="14" width="18.42578125" style="27" customWidth="1"/>
    <col min="15" max="15" width="14.7109375" style="27" bestFit="1" customWidth="1"/>
    <col min="16" max="16" width="9.140625" style="27" customWidth="1"/>
    <col min="17" max="24" width="9.140625" style="27"/>
    <col min="25" max="25" width="14.5703125" style="27" bestFit="1" customWidth="1"/>
    <col min="26" max="16384" width="9.140625" style="27"/>
  </cols>
  <sheetData>
    <row r="1" spans="2:13" ht="14.1" customHeight="1" x14ac:dyDescent="0.2">
      <c r="B1" s="11"/>
      <c r="E1" s="11"/>
    </row>
    <row r="2" spans="2:13" ht="28.35" customHeight="1" x14ac:dyDescent="0.2">
      <c r="B2" s="53" t="s">
        <v>31</v>
      </c>
    </row>
    <row r="3" spans="2:13" ht="14.1" customHeight="1" x14ac:dyDescent="0.2"/>
    <row r="4" spans="2:13" ht="19.7" customHeight="1" thickBot="1" x14ac:dyDescent="0.25">
      <c r="B4" s="55" t="s">
        <v>2</v>
      </c>
    </row>
    <row r="5" spans="2:13" ht="18" customHeight="1" x14ac:dyDescent="0.2">
      <c r="B5" s="1" t="s">
        <v>32</v>
      </c>
      <c r="C5" s="29"/>
      <c r="D5" s="30"/>
    </row>
    <row r="6" spans="2:13" ht="18" customHeight="1" x14ac:dyDescent="0.2">
      <c r="B6" s="352" t="s">
        <v>6</v>
      </c>
      <c r="C6" s="353"/>
      <c r="D6" s="28">
        <v>10</v>
      </c>
      <c r="H6" s="154"/>
      <c r="J6" s="154"/>
      <c r="K6" s="154"/>
    </row>
    <row r="7" spans="2:13" ht="18" customHeight="1" x14ac:dyDescent="0.2">
      <c r="B7" s="155" t="s">
        <v>7</v>
      </c>
      <c r="C7" s="156"/>
      <c r="D7" s="157" t="str">
        <f ca="1">MID(CELL("filename", A1), FIND("]", CELL("filename", A1)) + 1, LEN(CELL("filename", A1)) - FIND("]", CELL("filename", A1)))</f>
        <v>IS10</v>
      </c>
      <c r="H7" s="154"/>
      <c r="J7" s="154"/>
      <c r="K7" s="154"/>
    </row>
    <row r="8" spans="2:13" ht="30" customHeight="1" thickBot="1" x14ac:dyDescent="0.25">
      <c r="B8" s="354" t="s">
        <v>58</v>
      </c>
      <c r="C8" s="355"/>
      <c r="D8" s="158" t="str">
        <f>INDEX('Referenčne količine'!$B$4:$M$12,MATCH($B8,('Referenčne količine'!$B$4:$B$12),0),MATCH($D$6,'Referenčne količine'!$B$5:$M$5,0))</f>
        <v>SE Dom krajanov Velike Malence</v>
      </c>
      <c r="H8" s="154"/>
      <c r="J8" s="154"/>
      <c r="K8" s="154"/>
    </row>
    <row r="9" spans="2:13" ht="18.75" customHeight="1" x14ac:dyDescent="0.25">
      <c r="B9" s="159" t="s">
        <v>215</v>
      </c>
      <c r="C9" s="160"/>
      <c r="D9" s="161"/>
      <c r="H9" s="154"/>
      <c r="J9"/>
      <c r="K9" s="162"/>
      <c r="L9"/>
      <c r="M9"/>
    </row>
    <row r="10" spans="2:13" ht="18.75" customHeight="1" x14ac:dyDescent="0.25">
      <c r="B10" s="163" t="s">
        <v>62</v>
      </c>
      <c r="C10" s="164" t="s">
        <v>60</v>
      </c>
      <c r="D10" s="165">
        <f>INDEX('Referenčne količine'!$B$9:$M$12,MATCH(B10,('Referenčne količine'!$B$9:$B$12),0),MATCH($D$6,'Referenčne količine'!$B$5:$M$5,0))</f>
        <v>7.6</v>
      </c>
      <c r="H10" s="154"/>
      <c r="J10"/>
      <c r="K10" s="162"/>
      <c r="L10"/>
      <c r="M10"/>
    </row>
    <row r="11" spans="2:13" ht="18.75" customHeight="1" x14ac:dyDescent="0.25">
      <c r="B11" s="163" t="s">
        <v>148</v>
      </c>
      <c r="C11" s="164" t="s">
        <v>46</v>
      </c>
      <c r="D11" s="80"/>
      <c r="H11" s="154"/>
      <c r="J11" s="162"/>
      <c r="K11" s="162"/>
      <c r="L11"/>
      <c r="M11"/>
    </row>
    <row r="12" spans="2:13" ht="18.75" customHeight="1" x14ac:dyDescent="0.25">
      <c r="B12" s="163" t="s">
        <v>64</v>
      </c>
      <c r="C12" s="164" t="s">
        <v>27</v>
      </c>
      <c r="D12" s="165">
        <f>INDEX('Referenčne količine'!$B$9:$M$12,MATCH(B12,('Referenčne količine'!$B$9:$B$12),0),MATCH($D$6,'Referenčne količine'!$B$5:$M$5,0))</f>
        <v>0</v>
      </c>
      <c r="J12"/>
      <c r="K12"/>
      <c r="L12"/>
      <c r="M12"/>
    </row>
    <row r="13" spans="2:13" ht="18.75" customHeight="1" x14ac:dyDescent="0.25">
      <c r="B13" s="163" t="s">
        <v>65</v>
      </c>
      <c r="C13" s="164" t="s">
        <v>61</v>
      </c>
      <c r="D13" s="165">
        <f>INDEX('Referenčne količine'!$B$9:$M$12,MATCH(B13,('Referenčne količine'!$B$9:$B$12),0),MATCH($D$6,'Referenčne količine'!$B$5:$M$5,0))</f>
        <v>0</v>
      </c>
      <c r="J13"/>
      <c r="K13"/>
      <c r="L13"/>
      <c r="M13"/>
    </row>
    <row r="14" spans="2:13" ht="18.75" customHeight="1" thickBot="1" x14ac:dyDescent="0.3">
      <c r="B14" s="166" t="s">
        <v>145</v>
      </c>
      <c r="C14" s="167" t="s">
        <v>27</v>
      </c>
      <c r="D14" s="153"/>
      <c r="J14"/>
      <c r="K14"/>
      <c r="L14"/>
      <c r="M14"/>
    </row>
    <row r="15" spans="2:13" ht="18.75" customHeight="1" x14ac:dyDescent="0.25">
      <c r="B15" s="168" t="s">
        <v>77</v>
      </c>
      <c r="C15" s="169"/>
      <c r="D15" s="170"/>
      <c r="J15"/>
      <c r="K15"/>
      <c r="L15"/>
      <c r="M15"/>
    </row>
    <row r="16" spans="2:13" ht="18.75" customHeight="1" x14ac:dyDescent="0.25">
      <c r="B16" s="171" t="s">
        <v>140</v>
      </c>
      <c r="C16" s="172" t="s">
        <v>141</v>
      </c>
      <c r="D16" s="28">
        <f>IFERROR(VLOOKUP(D$6,'Osnovni podatki'!$B$6:$I$41,7,FALSE),"")</f>
        <v>7.04</v>
      </c>
      <c r="J16"/>
      <c r="K16"/>
      <c r="L16"/>
      <c r="M16"/>
    </row>
    <row r="17" spans="2:13" ht="18.75" customHeight="1" x14ac:dyDescent="0.25">
      <c r="B17" s="171" t="s">
        <v>77</v>
      </c>
      <c r="C17" s="172" t="s">
        <v>28</v>
      </c>
      <c r="D17" s="78"/>
      <c r="G17" s="173"/>
      <c r="J17"/>
      <c r="K17"/>
      <c r="L17"/>
      <c r="M17"/>
    </row>
    <row r="18" spans="2:13" ht="18.75" customHeight="1" x14ac:dyDescent="0.25">
      <c r="B18" s="171" t="s">
        <v>79</v>
      </c>
      <c r="C18" s="172" t="s">
        <v>28</v>
      </c>
      <c r="D18" s="79">
        <f>D16*358</f>
        <v>2520.3200000000002</v>
      </c>
      <c r="J18"/>
      <c r="K18"/>
      <c r="L18"/>
      <c r="M18"/>
    </row>
    <row r="19" spans="2:13" ht="18.75" customHeight="1" x14ac:dyDescent="0.25">
      <c r="B19" s="174" t="s">
        <v>147</v>
      </c>
      <c r="C19" s="175" t="s">
        <v>146</v>
      </c>
      <c r="D19" s="91"/>
      <c r="J19"/>
      <c r="K19"/>
      <c r="L19"/>
      <c r="M19"/>
    </row>
    <row r="20" spans="2:13" ht="18.75" customHeight="1" x14ac:dyDescent="0.25">
      <c r="B20" s="174" t="s">
        <v>200</v>
      </c>
      <c r="C20" s="175" t="s">
        <v>28</v>
      </c>
      <c r="D20" s="176">
        <f>D17-D18-D21</f>
        <v>-2520.3200000000002</v>
      </c>
      <c r="J20"/>
      <c r="K20"/>
      <c r="L20"/>
      <c r="M20"/>
    </row>
    <row r="21" spans="2:13" ht="18.75" customHeight="1" thickBot="1" x14ac:dyDescent="0.3">
      <c r="B21" s="174" t="s">
        <v>202</v>
      </c>
      <c r="C21" s="175" t="s">
        <v>28</v>
      </c>
      <c r="D21" s="165">
        <f>D17*D19</f>
        <v>0</v>
      </c>
      <c r="J21"/>
      <c r="K21"/>
      <c r="L21"/>
      <c r="M21"/>
    </row>
    <row r="22" spans="2:13" ht="18.75" customHeight="1" x14ac:dyDescent="0.25">
      <c r="B22" s="177" t="s">
        <v>66</v>
      </c>
      <c r="C22" s="178"/>
      <c r="D22" s="179"/>
      <c r="J22"/>
      <c r="K22"/>
      <c r="L22"/>
      <c r="M22"/>
    </row>
    <row r="23" spans="2:13" ht="18.75" customHeight="1" x14ac:dyDescent="0.25">
      <c r="B23" s="180" t="s">
        <v>67</v>
      </c>
      <c r="C23" s="181" t="s">
        <v>60</v>
      </c>
      <c r="D23" s="85"/>
      <c r="J23"/>
      <c r="K23"/>
      <c r="L23"/>
      <c r="M23"/>
    </row>
    <row r="24" spans="2:13" ht="18.75" customHeight="1" x14ac:dyDescent="0.25">
      <c r="B24" s="182" t="s">
        <v>137</v>
      </c>
      <c r="C24" s="183" t="s">
        <v>60</v>
      </c>
      <c r="D24" s="80"/>
      <c r="J24"/>
      <c r="K24"/>
      <c r="L24"/>
      <c r="M24"/>
    </row>
    <row r="25" spans="2:13" ht="18.75" customHeight="1" x14ac:dyDescent="0.25">
      <c r="B25" s="182" t="s">
        <v>138</v>
      </c>
      <c r="C25" s="183" t="s">
        <v>60</v>
      </c>
      <c r="D25" s="80"/>
      <c r="J25"/>
      <c r="K25"/>
      <c r="L25"/>
      <c r="M25"/>
    </row>
    <row r="26" spans="2:13" ht="18.75" customHeight="1" thickBot="1" x14ac:dyDescent="0.3">
      <c r="B26" s="184" t="s">
        <v>198</v>
      </c>
      <c r="C26" s="185" t="s">
        <v>60</v>
      </c>
      <c r="D26" s="186">
        <f>D10-D24</f>
        <v>7.6</v>
      </c>
      <c r="J26"/>
      <c r="K26"/>
      <c r="L26"/>
      <c r="M26"/>
    </row>
    <row r="27" spans="2:13" ht="18.75" customHeight="1" x14ac:dyDescent="0.25">
      <c r="B27" s="187" t="s">
        <v>29</v>
      </c>
      <c r="C27" s="188"/>
      <c r="D27" s="189"/>
      <c r="J27"/>
      <c r="K27"/>
      <c r="L27"/>
      <c r="M27"/>
    </row>
    <row r="28" spans="2:13" ht="18.75" customHeight="1" x14ac:dyDescent="0.25">
      <c r="B28" s="190" t="s">
        <v>216</v>
      </c>
      <c r="C28" s="191" t="s">
        <v>197</v>
      </c>
      <c r="D28" s="84"/>
      <c r="J28"/>
      <c r="K28"/>
      <c r="L28"/>
      <c r="M28"/>
    </row>
    <row r="29" spans="2:13" ht="18.75" customHeight="1" thickBot="1" x14ac:dyDescent="0.3">
      <c r="B29" s="192" t="s">
        <v>76</v>
      </c>
      <c r="C29" s="193" t="s">
        <v>61</v>
      </c>
      <c r="D29" s="194">
        <f>D16*D28</f>
        <v>0</v>
      </c>
      <c r="J29"/>
      <c r="K29"/>
      <c r="L29"/>
      <c r="M29"/>
    </row>
    <row r="30" spans="2:13" ht="18.75" customHeight="1" x14ac:dyDescent="0.25">
      <c r="B30" s="195" t="s">
        <v>199</v>
      </c>
      <c r="C30" s="196"/>
      <c r="D30" s="197"/>
      <c r="J30"/>
      <c r="K30"/>
      <c r="L30"/>
      <c r="M30"/>
    </row>
    <row r="31" spans="2:13" ht="18.75" customHeight="1" thickBot="1" x14ac:dyDescent="0.3">
      <c r="B31" s="198" t="s">
        <v>143</v>
      </c>
      <c r="C31" s="199" t="s">
        <v>27</v>
      </c>
      <c r="D31" s="83"/>
      <c r="J31"/>
      <c r="K31"/>
      <c r="L31"/>
      <c r="M31"/>
    </row>
    <row r="32" spans="2:13" ht="18.75" customHeight="1" x14ac:dyDescent="0.2">
      <c r="B32" s="200" t="s">
        <v>203</v>
      </c>
      <c r="C32" s="201"/>
      <c r="D32" s="202"/>
    </row>
    <row r="33" spans="2:6" ht="18.75" customHeight="1" x14ac:dyDescent="0.2">
      <c r="B33" s="203" t="s">
        <v>30</v>
      </c>
      <c r="C33" s="204" t="s">
        <v>61</v>
      </c>
      <c r="D33" s="165">
        <f>D13</f>
        <v>0</v>
      </c>
      <c r="E33" s="154"/>
    </row>
    <row r="34" spans="2:6" ht="18.75" customHeight="1" thickBot="1" x14ac:dyDescent="0.25">
      <c r="B34" s="205" t="s">
        <v>144</v>
      </c>
      <c r="C34" s="206" t="s">
        <v>61</v>
      </c>
      <c r="D34" s="194">
        <f>D10*D31</f>
        <v>0</v>
      </c>
    </row>
    <row r="35" spans="2:6" ht="18.75" customHeight="1" x14ac:dyDescent="0.2">
      <c r="B35" s="207" t="s">
        <v>204</v>
      </c>
      <c r="C35" s="208"/>
      <c r="D35" s="209"/>
    </row>
    <row r="36" spans="2:6" ht="18.75" customHeight="1" x14ac:dyDescent="0.2">
      <c r="B36" s="210" t="s">
        <v>205</v>
      </c>
      <c r="C36" s="211" t="s">
        <v>60</v>
      </c>
      <c r="D36" s="165">
        <f>D23*D11</f>
        <v>0</v>
      </c>
    </row>
    <row r="37" spans="2:6" ht="18.75" customHeight="1" x14ac:dyDescent="0.2">
      <c r="B37" s="210" t="s">
        <v>206</v>
      </c>
      <c r="C37" s="211" t="s">
        <v>146</v>
      </c>
      <c r="D37" s="212" t="e">
        <f>D24/D23</f>
        <v>#DIV/0!</v>
      </c>
    </row>
    <row r="38" spans="2:6" ht="18.75" customHeight="1" x14ac:dyDescent="0.2">
      <c r="B38" s="210" t="s">
        <v>70</v>
      </c>
      <c r="C38" s="211" t="s">
        <v>27</v>
      </c>
      <c r="D38" s="165">
        <f>D31</f>
        <v>0</v>
      </c>
    </row>
    <row r="39" spans="2:6" ht="18.75" customHeight="1" x14ac:dyDescent="0.2">
      <c r="B39" s="210" t="s">
        <v>207</v>
      </c>
      <c r="C39" s="211" t="s">
        <v>208</v>
      </c>
      <c r="D39" s="213">
        <f>J60</f>
        <v>10</v>
      </c>
    </row>
    <row r="40" spans="2:6" ht="18.75" customHeight="1" thickBot="1" x14ac:dyDescent="0.25">
      <c r="B40" s="214" t="s">
        <v>210</v>
      </c>
      <c r="C40" s="215" t="s">
        <v>28</v>
      </c>
      <c r="D40" s="194">
        <f>D20</f>
        <v>-2520.3200000000002</v>
      </c>
      <c r="F40" s="154"/>
    </row>
    <row r="41" spans="2:6" ht="14.1" customHeight="1" x14ac:dyDescent="0.2">
      <c r="F41" s="154"/>
    </row>
    <row r="42" spans="2:6" ht="14.1" customHeight="1" x14ac:dyDescent="0.2">
      <c r="B42" s="216"/>
      <c r="F42" s="154"/>
    </row>
    <row r="43" spans="2:6" ht="14.1" customHeight="1" x14ac:dyDescent="0.2">
      <c r="B43" s="216" t="s">
        <v>209</v>
      </c>
    </row>
    <row r="44" spans="2:6" ht="14.1" customHeight="1" x14ac:dyDescent="0.2">
      <c r="B44" s="27" t="s">
        <v>211</v>
      </c>
    </row>
    <row r="45" spans="2:6" ht="14.1" customHeight="1" x14ac:dyDescent="0.2">
      <c r="B45" s="27" t="s">
        <v>212</v>
      </c>
    </row>
    <row r="46" spans="2:6" ht="14.1" customHeight="1" x14ac:dyDescent="0.2">
      <c r="B46" s="27" t="s">
        <v>213</v>
      </c>
    </row>
    <row r="47" spans="2:6" ht="14.1" customHeight="1" x14ac:dyDescent="0.2">
      <c r="B47" s="27" t="s">
        <v>214</v>
      </c>
    </row>
    <row r="48" spans="2:6" ht="14.1" customHeight="1" x14ac:dyDescent="0.2"/>
    <row r="49" spans="1:25" ht="14.1" customHeight="1" x14ac:dyDescent="0.2"/>
    <row r="50" spans="1:25" ht="14.1" customHeight="1" x14ac:dyDescent="0.2"/>
    <row r="51" spans="1:25" ht="14.1" customHeight="1" x14ac:dyDescent="0.2">
      <c r="N51" s="10"/>
      <c r="O51" s="10"/>
      <c r="P51" s="10"/>
    </row>
    <row r="52" spans="1:25" ht="14.1" customHeight="1" x14ac:dyDescent="0.2">
      <c r="N52" s="10"/>
      <c r="O52" s="10"/>
      <c r="P52" s="10"/>
    </row>
    <row r="53" spans="1:25" ht="17.100000000000001" customHeight="1" thickBot="1" x14ac:dyDescent="0.25">
      <c r="B53" s="55"/>
      <c r="N53" s="10"/>
      <c r="O53" s="10"/>
      <c r="P53" s="10"/>
    </row>
    <row r="54" spans="1:25" ht="17.100000000000001" customHeight="1" x14ac:dyDescent="0.2">
      <c r="B54" s="217" t="s">
        <v>43</v>
      </c>
      <c r="C54" s="218"/>
      <c r="D54" s="218"/>
      <c r="E54" s="219" t="s">
        <v>217</v>
      </c>
      <c r="F54" s="219" t="s">
        <v>201</v>
      </c>
      <c r="G54" s="220" t="s">
        <v>24</v>
      </c>
      <c r="N54" s="221"/>
      <c r="O54" s="221"/>
      <c r="P54" s="10"/>
      <c r="Y54" s="222"/>
    </row>
    <row r="55" spans="1:25" ht="17.100000000000001" customHeight="1" x14ac:dyDescent="0.25">
      <c r="A55"/>
      <c r="B55" s="223" t="s">
        <v>78</v>
      </c>
      <c r="C55" s="224"/>
      <c r="D55" s="225" t="s">
        <v>61</v>
      </c>
      <c r="E55" s="92">
        <f>D24*D12+D25*D14-D29</f>
        <v>0</v>
      </c>
      <c r="F55" s="92">
        <f>D33-D34</f>
        <v>0</v>
      </c>
      <c r="G55" s="56">
        <f>D31*D10-(D26*D12-D25*D14)-D16*D28</f>
        <v>0</v>
      </c>
      <c r="H55" s="154"/>
      <c r="N55" s="221"/>
      <c r="O55" s="221"/>
      <c r="P55" s="10"/>
      <c r="Y55" s="222"/>
    </row>
    <row r="56" spans="1:25" ht="14.1" customHeight="1" x14ac:dyDescent="0.25">
      <c r="A56"/>
      <c r="B56" s="226" t="s">
        <v>44</v>
      </c>
      <c r="C56" s="227"/>
      <c r="D56" s="225" t="s">
        <v>28</v>
      </c>
      <c r="E56" s="92">
        <f>D78</f>
        <v>0</v>
      </c>
      <c r="F56" s="92" t="e">
        <f>F55/E55*E56</f>
        <v>#DIV/0!</v>
      </c>
      <c r="G56" s="56" t="e">
        <f>G55/E55*E56</f>
        <v>#DIV/0!</v>
      </c>
      <c r="H56" s="154"/>
      <c r="N56" s="221"/>
      <c r="O56" s="221"/>
      <c r="P56" s="10"/>
      <c r="Y56" s="222"/>
    </row>
    <row r="57" spans="1:25" ht="17.100000000000001" customHeight="1" x14ac:dyDescent="0.25">
      <c r="A57"/>
      <c r="B57" s="226" t="s">
        <v>45</v>
      </c>
      <c r="C57" s="227"/>
      <c r="D57" s="225" t="s">
        <v>28</v>
      </c>
      <c r="E57" s="92">
        <f>M91</f>
        <v>0</v>
      </c>
      <c r="F57" s="92" t="e">
        <f>F55/E55*E57</f>
        <v>#DIV/0!</v>
      </c>
      <c r="G57" s="56" t="e">
        <f>G55/E55*E57</f>
        <v>#DIV/0!</v>
      </c>
      <c r="H57" s="154"/>
      <c r="N57" s="221"/>
      <c r="O57" s="221"/>
      <c r="P57" s="10"/>
      <c r="Y57" s="222"/>
    </row>
    <row r="58" spans="1:25" ht="17.100000000000001" customHeight="1" thickBot="1" x14ac:dyDescent="0.3">
      <c r="A58"/>
      <c r="B58" s="228" t="s">
        <v>80</v>
      </c>
      <c r="C58" s="229"/>
      <c r="D58" s="230" t="s">
        <v>28</v>
      </c>
      <c r="E58" s="93">
        <f>D17-D18</f>
        <v>-2520.3200000000002</v>
      </c>
      <c r="F58" s="93">
        <f>D20</f>
        <v>-2520.3200000000002</v>
      </c>
      <c r="G58" s="94">
        <f>D21</f>
        <v>0</v>
      </c>
      <c r="H58" s="154"/>
      <c r="N58" s="221"/>
      <c r="O58" s="221"/>
      <c r="P58" s="10"/>
      <c r="Y58" s="222"/>
    </row>
    <row r="59" spans="1:25" ht="30.75" thickBot="1" x14ac:dyDescent="0.3">
      <c r="A59"/>
      <c r="B59"/>
      <c r="C59"/>
      <c r="D59"/>
      <c r="E59"/>
      <c r="J59" s="231" t="s">
        <v>41</v>
      </c>
      <c r="K59" s="24" t="s">
        <v>42</v>
      </c>
      <c r="L59" s="25"/>
      <c r="M59" s="26"/>
      <c r="N59" s="221"/>
      <c r="O59" s="221"/>
      <c r="P59" s="10"/>
      <c r="Y59" s="222"/>
    </row>
    <row r="60" spans="1:25" ht="17.100000000000001" customHeight="1" thickBot="1" x14ac:dyDescent="0.3">
      <c r="A60"/>
      <c r="B60" s="55" t="s">
        <v>34</v>
      </c>
      <c r="E60"/>
      <c r="J60" s="54">
        <f>'IS01'!J60</f>
        <v>10</v>
      </c>
      <c r="K60" s="21" t="s">
        <v>36</v>
      </c>
      <c r="L60" s="22" t="s">
        <v>37</v>
      </c>
      <c r="M60" s="23" t="s">
        <v>38</v>
      </c>
      <c r="N60" s="10"/>
      <c r="O60" s="10"/>
      <c r="P60" s="10"/>
      <c r="Y60" s="216"/>
    </row>
    <row r="61" spans="1:25" ht="15.75" customHeight="1" x14ac:dyDescent="0.25">
      <c r="A61"/>
      <c r="B61" s="13" t="s">
        <v>35</v>
      </c>
      <c r="C61" s="14"/>
      <c r="D61" s="15"/>
      <c r="E61"/>
      <c r="K61" s="232">
        <f>IF($J$60&gt;0, 1, "")</f>
        <v>1</v>
      </c>
      <c r="L61" s="233">
        <f t="shared" ref="L61:L90" si="0">IF($J$60&gt;=K61,$E$55, "")</f>
        <v>0</v>
      </c>
      <c r="M61" s="57">
        <f t="shared" ref="M61:M90" si="1">IF($J$60&gt;=K61,L61/((1+$M$93)^K61), "0")</f>
        <v>0</v>
      </c>
      <c r="N61" s="10"/>
      <c r="O61" s="10"/>
      <c r="P61" s="10"/>
      <c r="Y61" s="216"/>
    </row>
    <row r="62" spans="1:25" ht="15.75" customHeight="1" x14ac:dyDescent="0.25">
      <c r="A62"/>
      <c r="B62" s="2" t="s">
        <v>36</v>
      </c>
      <c r="C62" s="3" t="s">
        <v>37</v>
      </c>
      <c r="D62" s="4" t="s">
        <v>38</v>
      </c>
      <c r="E62"/>
      <c r="K62" s="234">
        <f>IF($J$60&gt;K61, 2, "")</f>
        <v>2</v>
      </c>
      <c r="L62" s="235">
        <f t="shared" si="0"/>
        <v>0</v>
      </c>
      <c r="M62" s="58">
        <f t="shared" si="1"/>
        <v>0</v>
      </c>
      <c r="N62" s="10"/>
      <c r="O62" s="10"/>
      <c r="P62" s="10"/>
      <c r="Y62" s="216"/>
    </row>
    <row r="63" spans="1:25" ht="15.75" customHeight="1" x14ac:dyDescent="0.25">
      <c r="A63"/>
      <c r="B63" s="31">
        <v>1</v>
      </c>
      <c r="C63" s="47">
        <f t="shared" ref="C63:C77" si="2">$E$55</f>
        <v>0</v>
      </c>
      <c r="D63" s="48">
        <f t="shared" ref="D63:D77" si="3">C63/((1+$D$80)^B63)</f>
        <v>0</v>
      </c>
      <c r="E63" s="162"/>
      <c r="K63" s="234">
        <f>IF($J$60&gt;K62,3, "")</f>
        <v>3</v>
      </c>
      <c r="L63" s="235">
        <f t="shared" si="0"/>
        <v>0</v>
      </c>
      <c r="M63" s="58">
        <f t="shared" si="1"/>
        <v>0</v>
      </c>
      <c r="N63" s="236"/>
      <c r="O63" s="236"/>
      <c r="P63" s="10"/>
      <c r="Y63" s="237"/>
    </row>
    <row r="64" spans="1:25" ht="15.75" customHeight="1" x14ac:dyDescent="0.2">
      <c r="B64" s="31">
        <v>2</v>
      </c>
      <c r="C64" s="47">
        <f t="shared" si="2"/>
        <v>0</v>
      </c>
      <c r="D64" s="48">
        <f t="shared" si="3"/>
        <v>0</v>
      </c>
      <c r="E64" s="247"/>
      <c r="K64" s="234">
        <f>IF($J$60&gt;K63, 4, "")</f>
        <v>4</v>
      </c>
      <c r="L64" s="235">
        <f t="shared" si="0"/>
        <v>0</v>
      </c>
      <c r="M64" s="58">
        <f t="shared" si="1"/>
        <v>0</v>
      </c>
      <c r="N64" s="10"/>
      <c r="O64" s="10"/>
      <c r="P64" s="10"/>
    </row>
    <row r="65" spans="2:19" ht="15.75" customHeight="1" x14ac:dyDescent="0.2">
      <c r="B65" s="31">
        <v>3</v>
      </c>
      <c r="C65" s="47">
        <f t="shared" si="2"/>
        <v>0</v>
      </c>
      <c r="D65" s="48">
        <f t="shared" si="3"/>
        <v>0</v>
      </c>
      <c r="E65" s="247"/>
      <c r="K65" s="234">
        <f>IF($J$60&gt;K64, 5, "")</f>
        <v>5</v>
      </c>
      <c r="L65" s="235">
        <f t="shared" si="0"/>
        <v>0</v>
      </c>
      <c r="M65" s="58">
        <f t="shared" si="1"/>
        <v>0</v>
      </c>
      <c r="N65" s="351"/>
      <c r="O65" s="351"/>
      <c r="P65" s="351"/>
    </row>
    <row r="66" spans="2:19" ht="15.75" customHeight="1" x14ac:dyDescent="0.2">
      <c r="B66" s="31">
        <v>4</v>
      </c>
      <c r="C66" s="47">
        <f t="shared" si="2"/>
        <v>0</v>
      </c>
      <c r="D66" s="48">
        <f t="shared" si="3"/>
        <v>0</v>
      </c>
      <c r="E66" s="247"/>
      <c r="G66" s="59"/>
      <c r="K66" s="234">
        <f>IF($J$60&gt;K65, 6, "")</f>
        <v>6</v>
      </c>
      <c r="L66" s="235">
        <f t="shared" si="0"/>
        <v>0</v>
      </c>
      <c r="M66" s="58">
        <f t="shared" si="1"/>
        <v>0</v>
      </c>
      <c r="N66" s="10"/>
      <c r="O66" s="10"/>
      <c r="P66" s="10"/>
    </row>
    <row r="67" spans="2:19" ht="15.75" customHeight="1" x14ac:dyDescent="0.2">
      <c r="B67" s="31">
        <v>5</v>
      </c>
      <c r="C67" s="47">
        <f t="shared" si="2"/>
        <v>0</v>
      </c>
      <c r="D67" s="48">
        <f t="shared" si="3"/>
        <v>0</v>
      </c>
      <c r="E67" s="247"/>
      <c r="I67" s="10"/>
      <c r="K67" s="234">
        <f>IF($J$60&gt;K66, 7, "")</f>
        <v>7</v>
      </c>
      <c r="L67" s="235">
        <f t="shared" si="0"/>
        <v>0</v>
      </c>
      <c r="M67" s="58">
        <f t="shared" si="1"/>
        <v>0</v>
      </c>
      <c r="N67" s="10"/>
      <c r="O67" s="10"/>
      <c r="P67" s="10"/>
    </row>
    <row r="68" spans="2:19" ht="15.75" customHeight="1" x14ac:dyDescent="0.2">
      <c r="B68" s="31">
        <v>6</v>
      </c>
      <c r="C68" s="47">
        <f t="shared" si="2"/>
        <v>0</v>
      </c>
      <c r="D68" s="48">
        <f t="shared" si="3"/>
        <v>0</v>
      </c>
      <c r="E68" s="247"/>
      <c r="I68" s="10"/>
      <c r="K68" s="234">
        <f>IF($J$60&gt;K67, 8, "")</f>
        <v>8</v>
      </c>
      <c r="L68" s="235">
        <f t="shared" si="0"/>
        <v>0</v>
      </c>
      <c r="M68" s="58">
        <f t="shared" si="1"/>
        <v>0</v>
      </c>
      <c r="N68" s="10"/>
      <c r="O68" s="10"/>
      <c r="P68" s="10"/>
      <c r="Q68" s="10"/>
      <c r="R68" s="10"/>
      <c r="S68" s="10"/>
    </row>
    <row r="69" spans="2:19" ht="15.75" customHeight="1" x14ac:dyDescent="0.2">
      <c r="B69" s="31">
        <v>7</v>
      </c>
      <c r="C69" s="47">
        <f t="shared" si="2"/>
        <v>0</v>
      </c>
      <c r="D69" s="48">
        <f t="shared" si="3"/>
        <v>0</v>
      </c>
      <c r="E69" s="247"/>
      <c r="K69" s="234">
        <f>IF($J$60&gt;K68, 9, "")</f>
        <v>9</v>
      </c>
      <c r="L69" s="235">
        <f t="shared" si="0"/>
        <v>0</v>
      </c>
      <c r="M69" s="58">
        <f t="shared" si="1"/>
        <v>0</v>
      </c>
      <c r="N69" s="10"/>
      <c r="O69" s="10"/>
      <c r="P69" s="10"/>
      <c r="Q69" s="10"/>
      <c r="R69" s="10"/>
      <c r="S69" s="10"/>
    </row>
    <row r="70" spans="2:19" ht="15.75" customHeight="1" x14ac:dyDescent="0.2">
      <c r="B70" s="31">
        <v>8</v>
      </c>
      <c r="C70" s="47">
        <f t="shared" si="2"/>
        <v>0</v>
      </c>
      <c r="D70" s="48">
        <f t="shared" si="3"/>
        <v>0</v>
      </c>
      <c r="E70" s="247"/>
      <c r="K70" s="234">
        <f>IF($J$60&gt;K69, 10, "")</f>
        <v>10</v>
      </c>
      <c r="L70" s="235">
        <f t="shared" si="0"/>
        <v>0</v>
      </c>
      <c r="M70" s="58">
        <f t="shared" si="1"/>
        <v>0</v>
      </c>
      <c r="N70" s="10"/>
      <c r="O70" s="10"/>
      <c r="P70" s="10"/>
    </row>
    <row r="71" spans="2:19" ht="15.75" customHeight="1" x14ac:dyDescent="0.2">
      <c r="B71" s="31">
        <v>9</v>
      </c>
      <c r="C71" s="47">
        <f t="shared" si="2"/>
        <v>0</v>
      </c>
      <c r="D71" s="48">
        <f t="shared" si="3"/>
        <v>0</v>
      </c>
      <c r="E71" s="247"/>
      <c r="K71" s="234" t="str">
        <f>IF($J$60&gt;K70, 11, "")</f>
        <v/>
      </c>
      <c r="L71" s="235" t="str">
        <f t="shared" si="0"/>
        <v/>
      </c>
      <c r="M71" s="58" t="str">
        <f t="shared" si="1"/>
        <v>0</v>
      </c>
      <c r="N71" s="10"/>
      <c r="O71" s="10"/>
      <c r="P71" s="10"/>
    </row>
    <row r="72" spans="2:19" ht="15.75" customHeight="1" x14ac:dyDescent="0.2">
      <c r="B72" s="31">
        <v>10</v>
      </c>
      <c r="C72" s="47">
        <f t="shared" si="2"/>
        <v>0</v>
      </c>
      <c r="D72" s="48">
        <f t="shared" si="3"/>
        <v>0</v>
      </c>
      <c r="E72" s="247"/>
      <c r="K72" s="234" t="str">
        <f>IF($J$60&gt;K71, 12, "")</f>
        <v/>
      </c>
      <c r="L72" s="235" t="str">
        <f t="shared" si="0"/>
        <v/>
      </c>
      <c r="M72" s="58" t="str">
        <f t="shared" si="1"/>
        <v>0</v>
      </c>
      <c r="N72" s="10"/>
      <c r="O72" s="10"/>
      <c r="P72" s="10"/>
    </row>
    <row r="73" spans="2:19" ht="15.75" customHeight="1" x14ac:dyDescent="0.2">
      <c r="B73" s="31">
        <v>11</v>
      </c>
      <c r="C73" s="47">
        <f t="shared" si="2"/>
        <v>0</v>
      </c>
      <c r="D73" s="48">
        <f t="shared" si="3"/>
        <v>0</v>
      </c>
      <c r="E73" s="247"/>
      <c r="K73" s="234" t="str">
        <f>IF($J$60&gt;K72, 13, "")</f>
        <v/>
      </c>
      <c r="L73" s="235" t="str">
        <f t="shared" si="0"/>
        <v/>
      </c>
      <c r="M73" s="58" t="str">
        <f t="shared" si="1"/>
        <v>0</v>
      </c>
      <c r="N73" s="10"/>
      <c r="O73" s="10"/>
      <c r="P73" s="10"/>
    </row>
    <row r="74" spans="2:19" ht="15.75" customHeight="1" x14ac:dyDescent="0.2">
      <c r="B74" s="31">
        <v>12</v>
      </c>
      <c r="C74" s="47">
        <f t="shared" si="2"/>
        <v>0</v>
      </c>
      <c r="D74" s="48">
        <f t="shared" si="3"/>
        <v>0</v>
      </c>
      <c r="E74" s="247"/>
      <c r="K74" s="234" t="str">
        <f>IF($J$60&gt;K73, 14, "")</f>
        <v/>
      </c>
      <c r="L74" s="235" t="str">
        <f t="shared" si="0"/>
        <v/>
      </c>
      <c r="M74" s="58" t="str">
        <f t="shared" si="1"/>
        <v>0</v>
      </c>
      <c r="N74" s="10"/>
      <c r="O74" s="10"/>
      <c r="P74" s="10"/>
    </row>
    <row r="75" spans="2:19" ht="15.75" customHeight="1" x14ac:dyDescent="0.2">
      <c r="B75" s="31">
        <v>13</v>
      </c>
      <c r="C75" s="47">
        <f t="shared" si="2"/>
        <v>0</v>
      </c>
      <c r="D75" s="48">
        <f t="shared" si="3"/>
        <v>0</v>
      </c>
      <c r="E75" s="247"/>
      <c r="K75" s="234" t="str">
        <f>IF($J$60&gt;K74, 15, "")</f>
        <v/>
      </c>
      <c r="L75" s="235" t="str">
        <f t="shared" si="0"/>
        <v/>
      </c>
      <c r="M75" s="58" t="str">
        <f t="shared" si="1"/>
        <v>0</v>
      </c>
      <c r="N75" s="10"/>
      <c r="O75" s="10"/>
      <c r="P75" s="10"/>
    </row>
    <row r="76" spans="2:19" ht="15.75" customHeight="1" x14ac:dyDescent="0.25">
      <c r="B76" s="31">
        <v>14</v>
      </c>
      <c r="C76" s="47">
        <f t="shared" si="2"/>
        <v>0</v>
      </c>
      <c r="D76" s="48">
        <f t="shared" si="3"/>
        <v>0</v>
      </c>
      <c r="E76" s="247"/>
      <c r="G76"/>
      <c r="K76" s="234" t="str">
        <f>IF($J$60&gt;K75, 16, "")</f>
        <v/>
      </c>
      <c r="L76" s="235" t="str">
        <f t="shared" si="0"/>
        <v/>
      </c>
      <c r="M76" s="58" t="str">
        <f t="shared" si="1"/>
        <v>0</v>
      </c>
      <c r="N76" s="10"/>
      <c r="O76" s="10"/>
      <c r="P76" s="10"/>
    </row>
    <row r="77" spans="2:19" ht="15.75" customHeight="1" x14ac:dyDescent="0.25">
      <c r="B77" s="31">
        <v>15</v>
      </c>
      <c r="C77" s="47">
        <f t="shared" si="2"/>
        <v>0</v>
      </c>
      <c r="D77" s="48">
        <f t="shared" si="3"/>
        <v>0</v>
      </c>
      <c r="E77" s="247"/>
      <c r="G77"/>
      <c r="K77" s="234" t="str">
        <f>IF($J$60&gt;K76, 17, "")</f>
        <v/>
      </c>
      <c r="L77" s="235" t="str">
        <f t="shared" si="0"/>
        <v/>
      </c>
      <c r="M77" s="58" t="str">
        <f t="shared" si="1"/>
        <v>0</v>
      </c>
      <c r="N77" s="10"/>
      <c r="O77" s="10"/>
      <c r="P77" s="10"/>
    </row>
    <row r="78" spans="2:19" ht="15.75" customHeight="1" thickBot="1" x14ac:dyDescent="0.3">
      <c r="B78" s="12" t="s">
        <v>39</v>
      </c>
      <c r="C78" s="51">
        <f>SUM(C63:C77)</f>
        <v>0</v>
      </c>
      <c r="D78" s="52">
        <f>SUM(D63:D77)</f>
        <v>0</v>
      </c>
      <c r="E78" s="162"/>
      <c r="F78" s="238"/>
      <c r="G78" s="238"/>
      <c r="K78" s="234" t="str">
        <f>IF($J$60&gt;K77, 18, "")</f>
        <v/>
      </c>
      <c r="L78" s="235" t="str">
        <f t="shared" si="0"/>
        <v/>
      </c>
      <c r="M78" s="58" t="str">
        <f t="shared" si="1"/>
        <v>0</v>
      </c>
      <c r="N78" s="10"/>
      <c r="O78" s="10"/>
      <c r="P78" s="10"/>
    </row>
    <row r="79" spans="2:19" ht="15.75" customHeight="1" x14ac:dyDescent="0.25">
      <c r="B79" s="239"/>
      <c r="C79" s="240"/>
      <c r="D79" s="241"/>
      <c r="E79"/>
      <c r="F79"/>
      <c r="G79"/>
      <c r="K79" s="234" t="str">
        <f>IF($J$60&gt;K78, 19, "")</f>
        <v/>
      </c>
      <c r="L79" s="235" t="str">
        <f t="shared" si="0"/>
        <v/>
      </c>
      <c r="M79" s="58" t="str">
        <f t="shared" si="1"/>
        <v>0</v>
      </c>
      <c r="N79" s="10"/>
      <c r="O79" s="10"/>
      <c r="P79" s="10"/>
    </row>
    <row r="80" spans="2:19" ht="15.75" customHeight="1" thickBot="1" x14ac:dyDescent="0.3">
      <c r="B80" s="242" t="s">
        <v>40</v>
      </c>
      <c r="C80" s="243"/>
      <c r="D80" s="60">
        <v>0.04</v>
      </c>
      <c r="E80"/>
      <c r="F80"/>
      <c r="G80" s="238"/>
      <c r="K80" s="234" t="str">
        <f>IF($J$60&gt;K79, 20, "")</f>
        <v/>
      </c>
      <c r="L80" s="235" t="str">
        <f t="shared" si="0"/>
        <v/>
      </c>
      <c r="M80" s="58" t="str">
        <f t="shared" si="1"/>
        <v>0</v>
      </c>
      <c r="N80" s="10"/>
      <c r="O80" s="10"/>
      <c r="P80" s="10"/>
      <c r="Q80" s="10"/>
      <c r="R80" s="10"/>
      <c r="S80" s="10"/>
    </row>
    <row r="81" spans="1:19" ht="15.75" customHeight="1" x14ac:dyDescent="0.25">
      <c r="B81"/>
      <c r="C81"/>
      <c r="D81"/>
      <c r="E81"/>
      <c r="F81"/>
      <c r="G81"/>
      <c r="K81" s="234" t="str">
        <f>IF($J$60&gt;K80, 21, "")</f>
        <v/>
      </c>
      <c r="L81" s="235" t="str">
        <f t="shared" si="0"/>
        <v/>
      </c>
      <c r="M81" s="58" t="str">
        <f t="shared" si="1"/>
        <v>0</v>
      </c>
      <c r="N81" s="10"/>
      <c r="O81" s="10"/>
      <c r="P81" s="10"/>
      <c r="Q81" s="10"/>
      <c r="R81" s="10"/>
      <c r="S81" s="10"/>
    </row>
    <row r="82" spans="1:19" ht="15.75" customHeight="1" x14ac:dyDescent="0.25">
      <c r="B82"/>
      <c r="C82"/>
      <c r="D82"/>
      <c r="E82"/>
      <c r="F82"/>
      <c r="G82"/>
      <c r="K82" s="234" t="str">
        <f>IF($J$60&gt;K81, 22, "")</f>
        <v/>
      </c>
      <c r="L82" s="235" t="str">
        <f t="shared" si="0"/>
        <v/>
      </c>
      <c r="M82" s="58" t="str">
        <f t="shared" si="1"/>
        <v>0</v>
      </c>
      <c r="N82" s="10"/>
      <c r="O82" s="10"/>
      <c r="P82" s="10"/>
    </row>
    <row r="83" spans="1:19" ht="15.75" customHeight="1" x14ac:dyDescent="0.25">
      <c r="B83"/>
      <c r="C83"/>
      <c r="D83"/>
      <c r="E83"/>
      <c r="F83"/>
      <c r="G83"/>
      <c r="K83" s="234" t="str">
        <f>IF($J$60&gt;K82, 23, "")</f>
        <v/>
      </c>
      <c r="L83" s="235" t="str">
        <f t="shared" si="0"/>
        <v/>
      </c>
      <c r="M83" s="58" t="str">
        <f t="shared" si="1"/>
        <v>0</v>
      </c>
      <c r="N83" s="351"/>
      <c r="O83" s="351"/>
      <c r="P83" s="10"/>
    </row>
    <row r="84" spans="1:19" ht="15.75" customHeight="1" x14ac:dyDescent="0.25">
      <c r="B84"/>
      <c r="C84"/>
      <c r="D84"/>
      <c r="E84"/>
      <c r="F84"/>
      <c r="G84"/>
      <c r="K84" s="234" t="str">
        <f>IF($J$60&gt;K83, 24, "")</f>
        <v/>
      </c>
      <c r="L84" s="235" t="str">
        <f t="shared" si="0"/>
        <v/>
      </c>
      <c r="M84" s="58" t="str">
        <f t="shared" si="1"/>
        <v>0</v>
      </c>
      <c r="N84" s="351"/>
      <c r="O84" s="351"/>
      <c r="P84" s="351"/>
    </row>
    <row r="85" spans="1:19" ht="15.75" customHeight="1" x14ac:dyDescent="0.25">
      <c r="B85"/>
      <c r="C85"/>
      <c r="D85"/>
      <c r="E85"/>
      <c r="F85"/>
      <c r="G85"/>
      <c r="K85" s="234" t="str">
        <f>IF($J$60&gt;K84, 25, "")</f>
        <v/>
      </c>
      <c r="L85" s="235" t="str">
        <f t="shared" si="0"/>
        <v/>
      </c>
      <c r="M85" s="58" t="str">
        <f t="shared" si="1"/>
        <v>0</v>
      </c>
      <c r="N85" s="10"/>
      <c r="O85" s="10"/>
      <c r="P85" s="10"/>
    </row>
    <row r="86" spans="1:19" ht="15.75" customHeight="1" x14ac:dyDescent="0.25">
      <c r="B86"/>
      <c r="C86"/>
      <c r="D86"/>
      <c r="E86"/>
      <c r="F86"/>
      <c r="G86"/>
      <c r="K86" s="234" t="str">
        <f>IF($J$60&gt;K85, 26, "")</f>
        <v/>
      </c>
      <c r="L86" s="235" t="str">
        <f>IF($J$60&gt;=K86,$E$55, "")</f>
        <v/>
      </c>
      <c r="M86" s="58" t="str">
        <f t="shared" si="1"/>
        <v>0</v>
      </c>
      <c r="N86" s="10"/>
      <c r="O86" s="10"/>
      <c r="P86" s="10"/>
    </row>
    <row r="87" spans="1:19" ht="15.75" customHeight="1" x14ac:dyDescent="0.25">
      <c r="A87"/>
      <c r="B87"/>
      <c r="C87"/>
      <c r="D87"/>
      <c r="E87"/>
      <c r="F87"/>
      <c r="G87"/>
      <c r="K87" s="234" t="str">
        <f>IF($J$60&gt;K86, 27, "")</f>
        <v/>
      </c>
      <c r="L87" s="235" t="str">
        <f t="shared" si="0"/>
        <v/>
      </c>
      <c r="M87" s="58" t="str">
        <f t="shared" si="1"/>
        <v>0</v>
      </c>
    </row>
    <row r="88" spans="1:19" ht="15.75" customHeight="1" x14ac:dyDescent="0.25">
      <c r="A88"/>
      <c r="B88"/>
      <c r="C88"/>
      <c r="D88"/>
      <c r="E88"/>
      <c r="F88"/>
      <c r="K88" s="234" t="str">
        <f>IF($J$60&gt;K87, 28, "")</f>
        <v/>
      </c>
      <c r="L88" s="235" t="str">
        <f t="shared" si="0"/>
        <v/>
      </c>
      <c r="M88" s="58" t="str">
        <f t="shared" si="1"/>
        <v>0</v>
      </c>
    </row>
    <row r="89" spans="1:19" ht="15.75" customHeight="1" x14ac:dyDescent="0.25">
      <c r="A89"/>
      <c r="B89"/>
      <c r="C89"/>
      <c r="D89"/>
      <c r="E89"/>
      <c r="F89"/>
      <c r="K89" s="234" t="str">
        <f>IF($J$60&gt;K88, 29, "")</f>
        <v/>
      </c>
      <c r="L89" s="235" t="str">
        <f t="shared" si="0"/>
        <v/>
      </c>
      <c r="M89" s="58" t="str">
        <f t="shared" si="1"/>
        <v>0</v>
      </c>
    </row>
    <row r="90" spans="1:19" ht="15.75" customHeight="1" x14ac:dyDescent="0.25">
      <c r="A90"/>
      <c r="B90"/>
      <c r="C90"/>
      <c r="D90"/>
      <c r="E90"/>
      <c r="F90"/>
      <c r="K90" s="234" t="str">
        <f>IF($J$60&gt;K89, 30, "")</f>
        <v/>
      </c>
      <c r="L90" s="235" t="str">
        <f t="shared" si="0"/>
        <v/>
      </c>
      <c r="M90" s="58" t="str">
        <f t="shared" si="1"/>
        <v>0</v>
      </c>
    </row>
    <row r="91" spans="1:19" ht="15.75" customHeight="1" x14ac:dyDescent="0.25">
      <c r="A91"/>
      <c r="B91"/>
      <c r="C91"/>
      <c r="D91"/>
      <c r="E91"/>
      <c r="F91"/>
      <c r="K91" s="2" t="s">
        <v>39</v>
      </c>
      <c r="L91" s="49">
        <f>SUM(L61:L90)</f>
        <v>0</v>
      </c>
      <c r="M91" s="50">
        <f>SUM(M61:M80)</f>
        <v>0</v>
      </c>
    </row>
    <row r="92" spans="1:19" ht="15.75" customHeight="1" x14ac:dyDescent="0.25">
      <c r="A92"/>
      <c r="B92"/>
      <c r="C92"/>
      <c r="D92"/>
      <c r="E92"/>
      <c r="F92"/>
      <c r="K92" s="245"/>
      <c r="L92" s="246"/>
      <c r="M92" s="28"/>
    </row>
    <row r="93" spans="1:19" ht="15.75" customHeight="1" thickBot="1" x14ac:dyDescent="0.3">
      <c r="A93"/>
      <c r="B93"/>
      <c r="C93"/>
      <c r="D93"/>
      <c r="E93"/>
      <c r="F93"/>
      <c r="K93" s="242" t="s">
        <v>40</v>
      </c>
      <c r="L93" s="243"/>
      <c r="M93" s="60">
        <v>0.04</v>
      </c>
    </row>
    <row r="94" spans="1:19" ht="15" x14ac:dyDescent="0.25">
      <c r="A94"/>
      <c r="B94"/>
      <c r="C94"/>
      <c r="D94"/>
      <c r="E94"/>
      <c r="F94"/>
    </row>
    <row r="95" spans="1:19" ht="14.1" customHeight="1" x14ac:dyDescent="0.2"/>
    <row r="96" spans="1:19" ht="14.1" customHeight="1" x14ac:dyDescent="0.2"/>
    <row r="97" s="27" customFormat="1" ht="14.1" customHeight="1" x14ac:dyDescent="0.2"/>
    <row r="98" s="27" customFormat="1" ht="14.1" customHeight="1" x14ac:dyDescent="0.2"/>
    <row r="99" s="27" customFormat="1" ht="14.1" customHeight="1" x14ac:dyDescent="0.2"/>
    <row r="100" s="27" customFormat="1" ht="14.1" customHeight="1" x14ac:dyDescent="0.2"/>
    <row r="101" s="27" customFormat="1" ht="14.1" customHeight="1" x14ac:dyDescent="0.2"/>
    <row r="102" s="27" customFormat="1" ht="14.1" customHeight="1" x14ac:dyDescent="0.2"/>
    <row r="103" s="27" customFormat="1" ht="14.1" customHeight="1" x14ac:dyDescent="0.2"/>
    <row r="104" s="27" customFormat="1" ht="14.1" customHeight="1" x14ac:dyDescent="0.2"/>
    <row r="105" s="27" customFormat="1" ht="14.1" customHeight="1" x14ac:dyDescent="0.2"/>
    <row r="106" s="27" customFormat="1" ht="14.1" customHeight="1" x14ac:dyDescent="0.2"/>
    <row r="107" s="27" customFormat="1" ht="14.1" customHeight="1" x14ac:dyDescent="0.2"/>
    <row r="108" s="27" customFormat="1" ht="14.1" customHeight="1" x14ac:dyDescent="0.2"/>
    <row r="109" s="27" customFormat="1" ht="14.1" customHeight="1" x14ac:dyDescent="0.2"/>
    <row r="110" s="27" customFormat="1" ht="14.1" customHeight="1" x14ac:dyDescent="0.2"/>
    <row r="111" s="27" customFormat="1" ht="14.1" customHeight="1" x14ac:dyDescent="0.2"/>
    <row r="112" s="27" customFormat="1" ht="14.1" customHeight="1" x14ac:dyDescent="0.2"/>
    <row r="113" s="27" customFormat="1" ht="14.1" customHeight="1" x14ac:dyDescent="0.2"/>
    <row r="114" s="27" customFormat="1" ht="14.1" customHeight="1" x14ac:dyDescent="0.2"/>
    <row r="115" s="27" customFormat="1" ht="14.1" customHeight="1" x14ac:dyDescent="0.2"/>
    <row r="116" s="27" customFormat="1" ht="14.1" customHeight="1" x14ac:dyDescent="0.2"/>
    <row r="117" s="27" customFormat="1" ht="14.1" customHeight="1" x14ac:dyDescent="0.2"/>
    <row r="118" s="27" customFormat="1" ht="14.1" customHeight="1" x14ac:dyDescent="0.2"/>
    <row r="119" s="27" customFormat="1" ht="14.1" customHeight="1" x14ac:dyDescent="0.2"/>
    <row r="120" s="27" customFormat="1" ht="14.1" customHeight="1" x14ac:dyDescent="0.2"/>
    <row r="121" s="27" customFormat="1" ht="14.1" customHeight="1" x14ac:dyDescent="0.2"/>
    <row r="122" s="27" customFormat="1" ht="14.1" customHeight="1" x14ac:dyDescent="0.2"/>
    <row r="123" s="27" customFormat="1" ht="14.1" customHeight="1" x14ac:dyDescent="0.2"/>
    <row r="124" s="27" customFormat="1" ht="14.1" customHeight="1" x14ac:dyDescent="0.2"/>
    <row r="125" s="27" customFormat="1" ht="14.1" customHeight="1" x14ac:dyDescent="0.2"/>
    <row r="126" s="27" customFormat="1" ht="14.1" customHeight="1" x14ac:dyDescent="0.2"/>
    <row r="127" s="27" customFormat="1" ht="14.1" customHeight="1" x14ac:dyDescent="0.2"/>
    <row r="128" s="27" customFormat="1" ht="14.1" customHeight="1" x14ac:dyDescent="0.2"/>
    <row r="129" s="27" customFormat="1" ht="14.1" customHeight="1" x14ac:dyDescent="0.2"/>
    <row r="130" s="27" customFormat="1" ht="14.1" customHeight="1" x14ac:dyDescent="0.2"/>
    <row r="131" s="27" customFormat="1" ht="14.1" customHeight="1" x14ac:dyDescent="0.2"/>
    <row r="132" s="27" customFormat="1" ht="14.1" customHeight="1" x14ac:dyDescent="0.2"/>
    <row r="133" s="27" customFormat="1" ht="14.1" customHeight="1" x14ac:dyDescent="0.2"/>
    <row r="134" s="27" customFormat="1" ht="14.1" customHeight="1" x14ac:dyDescent="0.2"/>
    <row r="135" s="27" customFormat="1" ht="14.1" customHeight="1" x14ac:dyDescent="0.2"/>
    <row r="136" s="27" customFormat="1" ht="14.1" customHeight="1" x14ac:dyDescent="0.2"/>
    <row r="137" s="27" customFormat="1" ht="14.1" customHeight="1" x14ac:dyDescent="0.2"/>
    <row r="138" s="27" customFormat="1" ht="14.1" customHeight="1" x14ac:dyDescent="0.2"/>
    <row r="139" s="27" customFormat="1" ht="14.1" customHeight="1" x14ac:dyDescent="0.2"/>
    <row r="140" s="27" customFormat="1" ht="14.1" customHeight="1" x14ac:dyDescent="0.2"/>
    <row r="141" s="27" customFormat="1" ht="14.1" customHeight="1" x14ac:dyDescent="0.2"/>
    <row r="142" s="27" customFormat="1" ht="14.1" customHeight="1" x14ac:dyDescent="0.2"/>
    <row r="143" s="27" customFormat="1" ht="14.1" customHeight="1" x14ac:dyDescent="0.2"/>
    <row r="144" s="27" customFormat="1" ht="14.1" customHeight="1" x14ac:dyDescent="0.2"/>
    <row r="145" s="27" customFormat="1" ht="14.1" customHeight="1" x14ac:dyDescent="0.2"/>
    <row r="146" s="27" customFormat="1" ht="14.1" customHeight="1" x14ac:dyDescent="0.2"/>
    <row r="147" s="27" customFormat="1" ht="14.1" customHeight="1" x14ac:dyDescent="0.2"/>
    <row r="148" s="27" customFormat="1" ht="14.1" customHeight="1" x14ac:dyDescent="0.2"/>
    <row r="149" s="27" customFormat="1" ht="14.1" customHeight="1" x14ac:dyDescent="0.2"/>
    <row r="150" s="27" customFormat="1" ht="14.1" customHeight="1" x14ac:dyDescent="0.2"/>
    <row r="151" s="27" customFormat="1" ht="14.1" customHeight="1" x14ac:dyDescent="0.2"/>
    <row r="152" s="27" customFormat="1" ht="14.1" customHeight="1" x14ac:dyDescent="0.2"/>
    <row r="153" s="27" customFormat="1" ht="14.1" customHeight="1" x14ac:dyDescent="0.2"/>
    <row r="154" s="27" customFormat="1" ht="14.1" customHeight="1" x14ac:dyDescent="0.2"/>
    <row r="155" s="27" customFormat="1" ht="14.1" customHeight="1" x14ac:dyDescent="0.2"/>
    <row r="156" s="27" customFormat="1" ht="14.1" customHeight="1" x14ac:dyDescent="0.2"/>
    <row r="157" s="27" customFormat="1" ht="14.1" customHeight="1" x14ac:dyDescent="0.2"/>
    <row r="158" s="27" customFormat="1" ht="14.1" customHeight="1" x14ac:dyDescent="0.2"/>
    <row r="159" s="27" customFormat="1" ht="14.1" customHeight="1" x14ac:dyDescent="0.2"/>
    <row r="160" s="27" customFormat="1" ht="14.1" customHeight="1" x14ac:dyDescent="0.2"/>
    <row r="161" s="27" customFormat="1" ht="14.1" customHeight="1" x14ac:dyDescent="0.2"/>
    <row r="162" s="27" customFormat="1" ht="14.1" customHeight="1" x14ac:dyDescent="0.2"/>
    <row r="163" s="27" customFormat="1" ht="14.1" customHeight="1" x14ac:dyDescent="0.2"/>
    <row r="164" s="27" customFormat="1" ht="14.1" customHeight="1" x14ac:dyDescent="0.2"/>
    <row r="165" s="27" customFormat="1" ht="14.1" customHeight="1" x14ac:dyDescent="0.2"/>
    <row r="166" s="27" customFormat="1" ht="14.1" customHeight="1" x14ac:dyDescent="0.2"/>
    <row r="167" s="27" customFormat="1" ht="14.1" customHeight="1" x14ac:dyDescent="0.2"/>
    <row r="168" s="27" customFormat="1" ht="14.1" customHeight="1" x14ac:dyDescent="0.2"/>
    <row r="169" s="27" customFormat="1" ht="14.1" customHeight="1" x14ac:dyDescent="0.2"/>
    <row r="170" s="27" customFormat="1" ht="14.1" customHeight="1" x14ac:dyDescent="0.2"/>
    <row r="171" s="27" customFormat="1" ht="14.1" customHeight="1" x14ac:dyDescent="0.2"/>
    <row r="172" s="27" customFormat="1" ht="14.1" customHeight="1" x14ac:dyDescent="0.2"/>
    <row r="173" s="27" customFormat="1" ht="14.1" customHeight="1" x14ac:dyDescent="0.2"/>
    <row r="174" s="27" customFormat="1" ht="14.1" customHeight="1" x14ac:dyDescent="0.2"/>
    <row r="175" s="27" customFormat="1" ht="14.1" customHeight="1" x14ac:dyDescent="0.2"/>
    <row r="176" s="27" customFormat="1" ht="14.1" customHeight="1" x14ac:dyDescent="0.2"/>
    <row r="177" s="27" customFormat="1" ht="14.1" customHeight="1" x14ac:dyDescent="0.2"/>
    <row r="178" s="27" customFormat="1" ht="14.1" customHeight="1" x14ac:dyDescent="0.2"/>
    <row r="179" s="27" customFormat="1" ht="14.1" customHeight="1" x14ac:dyDescent="0.2"/>
    <row r="180" s="27" customFormat="1" ht="14.1" customHeight="1" x14ac:dyDescent="0.2"/>
    <row r="181" s="27" customFormat="1" ht="14.1" customHeight="1" x14ac:dyDescent="0.2"/>
    <row r="182" s="27" customFormat="1" ht="14.1" customHeight="1" x14ac:dyDescent="0.2"/>
    <row r="183" s="27" customFormat="1" ht="14.1" customHeight="1" x14ac:dyDescent="0.2"/>
    <row r="184" s="27" customFormat="1" ht="14.1" customHeight="1" x14ac:dyDescent="0.2"/>
    <row r="185" s="27" customFormat="1" ht="14.1" customHeight="1" x14ac:dyDescent="0.2"/>
    <row r="186" s="27" customFormat="1" ht="14.1" customHeight="1" x14ac:dyDescent="0.2"/>
    <row r="187" s="27" customFormat="1" ht="14.1" customHeight="1" x14ac:dyDescent="0.2"/>
    <row r="188" s="27" customFormat="1" ht="14.1" customHeight="1" x14ac:dyDescent="0.2"/>
    <row r="189" s="27" customFormat="1" ht="14.1" customHeight="1" x14ac:dyDescent="0.2"/>
    <row r="190" s="27" customFormat="1" ht="14.1" customHeight="1" x14ac:dyDescent="0.2"/>
    <row r="191" s="27" customFormat="1" ht="14.1" customHeight="1" x14ac:dyDescent="0.2"/>
  </sheetData>
  <sheetProtection sheet="1" selectLockedCells="1"/>
  <mergeCells count="5">
    <mergeCell ref="B6:C6"/>
    <mergeCell ref="B8:C8"/>
    <mergeCell ref="N65:P65"/>
    <mergeCell ref="N83:O83"/>
    <mergeCell ref="N84:P84"/>
  </mergeCells>
  <pageMargins left="0.25" right="0.25" top="0.75" bottom="0.75" header="0.3" footer="0.3"/>
  <pageSetup paperSize="9" scale="46" fitToHeight="0" orientation="portrait" r:id="rId1"/>
  <headerFooter>
    <oddFooter>&amp;L&amp;A&amp;R&amp;P/&amp;N</oddFooter>
  </headerFooter>
  <rowBreaks count="1" manualBreakCount="1">
    <brk id="52" max="12" man="1"/>
  </rowBreaks>
  <colBreaks count="1" manualBreakCount="1">
    <brk id="8" max="121" man="1"/>
  </colBreak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CC3233F7-EDB0-420C-98E5-4E7B8FE4E74B}">
          <x14:formula1>
            <xm:f>'Osnovni podatki'!$B$6:$B$40</xm:f>
          </x14:formula1>
          <xm:sqref>D6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02932-4A50-4324-A7DE-679B10597BC0}">
  <sheetPr>
    <tabColor rgb="FFFFFF00"/>
    <pageSetUpPr fitToPage="1"/>
  </sheetPr>
  <dimension ref="A1:AD191"/>
  <sheetViews>
    <sheetView showGridLines="0" view="pageBreakPreview" zoomScaleNormal="100" zoomScaleSheetLayoutView="100" workbookViewId="0">
      <selection activeCell="F14" sqref="F14"/>
    </sheetView>
  </sheetViews>
  <sheetFormatPr defaultColWidth="9.140625" defaultRowHeight="12.75" x14ac:dyDescent="0.2"/>
  <cols>
    <col min="1" max="1" width="4.85546875" style="27" customWidth="1"/>
    <col min="2" max="2" width="46.5703125" style="27" customWidth="1"/>
    <col min="3" max="3" width="15" style="27" customWidth="1"/>
    <col min="4" max="10" width="12.28515625" style="27" customWidth="1"/>
    <col min="11" max="11" width="12.7109375" style="27" customWidth="1"/>
    <col min="12" max="29" width="12.28515625" style="27" customWidth="1"/>
    <col min="30" max="30" width="12.7109375" style="27" customWidth="1"/>
    <col min="31" max="16384" width="9.140625" style="27"/>
  </cols>
  <sheetData>
    <row r="1" spans="2:30" ht="14.1" customHeight="1" x14ac:dyDescent="0.2"/>
    <row r="2" spans="2:30" ht="28.35" customHeight="1" x14ac:dyDescent="0.2">
      <c r="B2" s="53" t="s">
        <v>31</v>
      </c>
    </row>
    <row r="3" spans="2:30" ht="14.1" customHeight="1" x14ac:dyDescent="0.2"/>
    <row r="4" spans="2:30" ht="19.7" customHeight="1" thickBot="1" x14ac:dyDescent="0.25">
      <c r="B4" s="55" t="s">
        <v>2</v>
      </c>
    </row>
    <row r="5" spans="2:30" ht="18" customHeight="1" x14ac:dyDescent="0.2">
      <c r="B5" s="1" t="s">
        <v>32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49"/>
    </row>
    <row r="6" spans="2:30" ht="18" customHeight="1" x14ac:dyDescent="0.2">
      <c r="B6" s="359" t="s">
        <v>6</v>
      </c>
      <c r="C6" s="360"/>
      <c r="D6" s="246">
        <v>11</v>
      </c>
      <c r="E6" s="246">
        <v>12</v>
      </c>
      <c r="F6" s="246">
        <v>13</v>
      </c>
      <c r="G6" s="246">
        <v>14</v>
      </c>
      <c r="H6" s="246">
        <v>15</v>
      </c>
      <c r="I6" s="246">
        <v>16</v>
      </c>
      <c r="J6" s="246">
        <v>17</v>
      </c>
      <c r="K6" s="246">
        <v>18</v>
      </c>
      <c r="L6" s="246">
        <v>19</v>
      </c>
      <c r="M6" s="246">
        <v>20</v>
      </c>
      <c r="N6" s="246">
        <v>21</v>
      </c>
      <c r="O6" s="246">
        <v>22</v>
      </c>
      <c r="P6" s="246">
        <v>23</v>
      </c>
      <c r="Q6" s="246">
        <v>24</v>
      </c>
      <c r="R6" s="246">
        <v>25</v>
      </c>
      <c r="S6" s="246">
        <v>26</v>
      </c>
      <c r="T6" s="246">
        <v>27</v>
      </c>
      <c r="U6" s="246">
        <v>28</v>
      </c>
      <c r="V6" s="246">
        <v>29</v>
      </c>
      <c r="W6" s="246">
        <v>30</v>
      </c>
      <c r="X6" s="246">
        <v>31</v>
      </c>
      <c r="Y6" s="246">
        <v>32</v>
      </c>
      <c r="Z6" s="246">
        <v>33</v>
      </c>
      <c r="AA6" s="246">
        <v>34</v>
      </c>
      <c r="AB6" s="246">
        <v>35</v>
      </c>
      <c r="AC6" s="246">
        <v>36</v>
      </c>
      <c r="AD6" s="250" t="s">
        <v>139</v>
      </c>
    </row>
    <row r="7" spans="2:30" ht="18" customHeight="1" x14ac:dyDescent="0.2">
      <c r="B7" s="251" t="s">
        <v>7</v>
      </c>
      <c r="C7" s="252"/>
      <c r="D7" s="253" t="str">
        <f ca="1">MID(CELL("filename", A1), FIND("]", CELL("filename", A1)) + 1, LEN(CELL("filename", A1)) - FIND("]", CELL("filename", A1)))</f>
        <v>SS01</v>
      </c>
      <c r="E7" s="253" t="str">
        <f ca="1">MID(CELL("filename", A1), FIND("]", CELL("filename", A1)) + 1, LEN(CELL("filename", A1)) - FIND("]", CELL("filename", A1)))</f>
        <v>SS01</v>
      </c>
      <c r="F7" s="253" t="str">
        <f ca="1">MID(CELL("filename", A1), FIND("]", CELL("filename", A1)) + 1, LEN(CELL("filename", A1)) - FIND("]", CELL("filename", A1)))</f>
        <v>SS01</v>
      </c>
      <c r="G7" s="253" t="str">
        <f ca="1">MID(CELL("filename", A1), FIND("]", CELL("filename", A1)) + 1, LEN(CELL("filename", A1)) - FIND("]", CELL("filename", A1)))</f>
        <v>SS01</v>
      </c>
      <c r="H7" s="253" t="str">
        <f ca="1">MID(CELL("filename", A1), FIND("]", CELL("filename", A1)) + 1, LEN(CELL("filename", A1)) - FIND("]", CELL("filename", A1)))</f>
        <v>SS01</v>
      </c>
      <c r="I7" s="253" t="str">
        <f ca="1">MID(CELL("filename", A1), FIND("]", CELL("filename", A1)) + 1, LEN(CELL("filename", A1)) - FIND("]", CELL("filename", A1)))</f>
        <v>SS01</v>
      </c>
      <c r="J7" s="253" t="str">
        <f ca="1">MID(CELL("filename", A1), FIND("]", CELL("filename", A1)) + 1, LEN(CELL("filename", A1)) - FIND("]", CELL("filename", A1)))</f>
        <v>SS01</v>
      </c>
      <c r="K7" s="253" t="str">
        <f ca="1">MID(CELL("filename", A1), FIND("]", CELL("filename", A1)) + 1, LEN(CELL("filename", A1)) - FIND("]", CELL("filename", A1)))</f>
        <v>SS01</v>
      </c>
      <c r="L7" s="253" t="str">
        <f ca="1">MID(CELL("filename", A1), FIND("]", CELL("filename", A1)) + 1, LEN(CELL("filename", A1)) - FIND("]", CELL("filename", A1)))</f>
        <v>SS01</v>
      </c>
      <c r="M7" s="253" t="str">
        <f ca="1">MID(CELL("filename", A1), FIND("]", CELL("filename", A1)) + 1, LEN(CELL("filename", A1)) - FIND("]", CELL("filename", A1)))</f>
        <v>SS01</v>
      </c>
      <c r="N7" s="253" t="str">
        <f ca="1">MID(CELL("filename", A1), FIND("]", CELL("filename", A1)) + 1, LEN(CELL("filename", A1)) - FIND("]", CELL("filename", A1)))</f>
        <v>SS01</v>
      </c>
      <c r="O7" s="253" t="str">
        <f ca="1">MID(CELL("filename", A1), FIND("]", CELL("filename", A1)) + 1, LEN(CELL("filename", A1)) - FIND("]", CELL("filename", A1)))</f>
        <v>SS01</v>
      </c>
      <c r="P7" s="253" t="str">
        <f ca="1">MID(CELL("filename", A1), FIND("]", CELL("filename", A1)) + 1, LEN(CELL("filename", A1)) - FIND("]", CELL("filename", A1)))</f>
        <v>SS01</v>
      </c>
      <c r="Q7" s="253" t="str">
        <f ca="1">MID(CELL("filename", A1), FIND("]", CELL("filename", A1)) + 1, LEN(CELL("filename", A1)) - FIND("]", CELL("filename", A1)))</f>
        <v>SS01</v>
      </c>
      <c r="R7" s="253" t="str">
        <f ca="1">MID(CELL("filename", A1), FIND("]", CELL("filename", A1)) + 1, LEN(CELL("filename", A1)) - FIND("]", CELL("filename", A1)))</f>
        <v>SS01</v>
      </c>
      <c r="S7" s="253" t="str">
        <f ca="1">MID(CELL("filename", A1), FIND("]", CELL("filename", A1)) + 1, LEN(CELL("filename", A1)) - FIND("]", CELL("filename", A1)))</f>
        <v>SS01</v>
      </c>
      <c r="T7" s="253" t="str">
        <f ca="1">MID(CELL("filename", A1), FIND("]", CELL("filename", A1)) + 1, LEN(CELL("filename", A1)) - FIND("]", CELL("filename", A1)))</f>
        <v>SS01</v>
      </c>
      <c r="U7" s="253" t="str">
        <f ca="1">MID(CELL("filename", A1), FIND("]", CELL("filename", A1)) + 1, LEN(CELL("filename", A1)) - FIND("]", CELL("filename", A1)))</f>
        <v>SS01</v>
      </c>
      <c r="V7" s="253" t="str">
        <f ca="1">MID(CELL("filename", A1), FIND("]", CELL("filename", A1)) + 1, LEN(CELL("filename", A1)) - FIND("]", CELL("filename", A1)))</f>
        <v>SS01</v>
      </c>
      <c r="W7" s="253" t="str">
        <f ca="1">MID(CELL("filename", A1), FIND("]", CELL("filename", A1)) + 1, LEN(CELL("filename", A1)) - FIND("]", CELL("filename", A1)))</f>
        <v>SS01</v>
      </c>
      <c r="X7" s="253" t="str">
        <f ca="1">MID(CELL("filename", A1), FIND("]", CELL("filename", A1)) + 1, LEN(CELL("filename", A1)) - FIND("]", CELL("filename", A1)))</f>
        <v>SS01</v>
      </c>
      <c r="Y7" s="253" t="str">
        <f ca="1">MID(CELL("filename", A1), FIND("]", CELL("filename", A1)) + 1, LEN(CELL("filename", A1)) - FIND("]", CELL("filename", A1)))</f>
        <v>SS01</v>
      </c>
      <c r="Z7" s="253" t="str">
        <f ca="1">MID(CELL("filename", A1), FIND("]", CELL("filename", A1)) + 1, LEN(CELL("filename", A1)) - FIND("]", CELL("filename", A1)))</f>
        <v>SS01</v>
      </c>
      <c r="AA7" s="253" t="str">
        <f ca="1">MID(CELL("filename", A1), FIND("]", CELL("filename", A1)) + 1, LEN(CELL("filename", A1)) - FIND("]", CELL("filename", A1)))</f>
        <v>SS01</v>
      </c>
      <c r="AB7" s="253" t="str" cm="1">
        <f t="array" aca="1" ref="AB7" ca="1">MID(CELL("filename", A1), FIND("]", CELL("filename", A1)) + 1, LEN(CELL("filename", A1)) - FIND("]", CELL("filename", A1)))</f>
        <v>SS01</v>
      </c>
      <c r="AC7" s="253" t="str">
        <f ca="1">MID(CELL("filename", A1), FIND("]", CELL("filename", A1)) + 1, LEN(CELL("filename", A1)) - FIND("]", CELL("filename", A1)))</f>
        <v>SS01</v>
      </c>
      <c r="AD7" s="254" t="str">
        <f ca="1">MID(CELL("filename", A1), FIND("]", CELL("filename", A1)) + 1, LEN(CELL("filename", A1)) - FIND("]", CELL("filename", A1)))</f>
        <v>SS01</v>
      </c>
    </row>
    <row r="8" spans="2:30" ht="50.25" customHeight="1" thickBot="1" x14ac:dyDescent="0.25">
      <c r="B8" s="354" t="s">
        <v>58</v>
      </c>
      <c r="C8" s="361"/>
      <c r="D8" s="255" t="str">
        <f>INDEX('Referenčne količine'!B14:M22,MATCH(B8,('Referenčne količine'!B14:B22),0),MATCH(D6,'Referenčne količine'!B15:M15,0))</f>
        <v>SE Občina Brežice (MC)</v>
      </c>
      <c r="E8" s="255" t="str">
        <f>INDEX('Referenčne količine'!B14:M22,MATCH(B8,('Referenčne količine'!B14:B22),0),MATCH(E6,'Referenčne količine'!B15:M15,0))</f>
        <v>SE Kulturni dom Dobova 2</v>
      </c>
      <c r="F8" s="255" t="str">
        <f>INDEX('Referenčne količine'!B14:M22,MATCH(B8,('Referenčne količine'!B14:B22),0),MATCH(F6,'Referenčne količine'!B15:M15,0))</f>
        <v>SE Stadion Brežice 2</v>
      </c>
      <c r="G8" s="255" t="str">
        <f>INDEX('Referenčne količine'!B14:M22,MATCH(B8,('Referenčne količine'!B14:B22),0),MATCH(G6,'Referenčne količine'!B15:M15,0))</f>
        <v>SE Osnovna šola Artiče 1</v>
      </c>
      <c r="H8" s="255" t="str">
        <f>INDEX('Referenčne količine'!B14:M22,MATCH(B8,('Referenčne količine'!B14:B22),0),MATCH(H6,'Referenčne količine'!B15:M15,0))</f>
        <v>SE Osnovna šola Artiče 2</v>
      </c>
      <c r="I8" s="255" t="str">
        <f>INDEX('Referenčne količine'!B14:M22,MATCH(B8,('Referenčne količine'!B14:B22),0),MATCH(I6,'Referenčne količine'!B15:M15,0))</f>
        <v>SE Zdravstveni dom Brežice</v>
      </c>
      <c r="J8" s="255" t="str">
        <f>INDEX('Referenčne količine'!B14:M22,MATCH(B8,('Referenčne količine'!B14:B22),0),MATCH(J6,'Referenčne količine'!B15:M15,0))</f>
        <v>SE Osnovna šola Brežice</v>
      </c>
      <c r="K8" s="255" t="str">
        <f>INDEX('Referenčne količine'!B14:M22,MATCH(B8,('Referenčne količine'!B14:B22),0),MATCH(K6,'Referenčne količine'!B15:M15,0))</f>
        <v>SE Vrtec Mavrica</v>
      </c>
      <c r="L8" s="255" t="str">
        <f>INDEX('Referenčne količine'!B14:M22,MATCH(B8,('Referenčne količine'!B14:B22),0),MATCH(L6,'Referenčne količine'!B15:M15,0))</f>
        <v>SE Osnovna šola Velika Dolina 2</v>
      </c>
      <c r="M8" s="255" t="str">
        <f>INDEX('Referenčne količine'!B14:M22,MATCH(B8,('Referenčne količine'!B14:B22),0),MATCH(M6,'Referenčne količine'!B15:M15,0))</f>
        <v>SE Osnovna šola Cerklje ob Krki</v>
      </c>
      <c r="N8" s="255" t="str">
        <f>INDEX('Referenčne količine'!B24:M32,MATCH(B8,('Referenčne količine'!B24:B32),0),MATCH(N6,'Referenčne količine'!B25:M25,0))</f>
        <v>SE Dom Kulture Brežice</v>
      </c>
      <c r="O8" s="255" t="str">
        <f>INDEX('Referenčne količine'!B24:M32,MATCH(B8,('Referenčne količine'!B24:B32),0),MATCH(O6,'Referenčne količine'!B25:M25,0))</f>
        <v>SE Knjižnica Brežice</v>
      </c>
      <c r="P8" s="255" t="str">
        <f>INDEX('Referenčne količine'!B24:M32,MATCH(B8,('Referenčne količine'!B24:B32),0),MATCH(P6,'Referenčne količine'!B25:M25,0))</f>
        <v>SE Osnovna šola Bizeljsko</v>
      </c>
      <c r="Q8" s="255" t="str">
        <f>INDEX('Referenčne količine'!B24:M32,MATCH(B8,('Referenčne količine'!B24:B32),0),MATCH(Q6,'Referenčne količine'!B25:M25,0))</f>
        <v>SE Osnovna šola Pišece</v>
      </c>
      <c r="R8" s="255" t="str">
        <f>INDEX('Referenčne količine'!B24:M32,MATCH(B8,('Referenčne količine'!B24:B32),0),MATCH(R6,'Referenčne količine'!B25:M25,0))</f>
        <v>SE Osnovna šola Dobova 2</v>
      </c>
      <c r="S8" s="255" t="str">
        <f>INDEX('Referenčne količine'!B24:M32,MATCH(B8,('Referenčne količine'!B24:B32),0),MATCH(S6,'Referenčne količine'!B25:M25,0))</f>
        <v>SE ŠD Brežice</v>
      </c>
      <c r="T8" s="255" t="str">
        <f>INDEX('Referenčne količine'!B24:M32,MATCH(B8,('Referenčne količine'!B24:B32),0),MATCH(T6,'Referenčne količine'!B25:M25,0))</f>
        <v>Čistilna naprava Brežice</v>
      </c>
      <c r="U8" s="255" t="str">
        <f>INDEX('Referenčne količine'!B24:M32,MATCH(B8,('Referenčne količine'!B24:B32),0),MATCH(U6,'Referenčne količine'!B25:M25,0))</f>
        <v>Občinska stavba. CPB 18, Brežice</v>
      </c>
      <c r="V8" s="255" t="str">
        <f>INDEX('Referenčne količine'!B24:M32,MATCH(B8,('Referenčne količine'!B24:B32),0),MATCH(V6,'Referenčne količine'!B25:M25,0))</f>
        <v>Mestna hiša CPB</v>
      </c>
      <c r="W8" s="255" t="str">
        <f>INDEX('Referenčne količine'!B24:M32,MATCH(B8,('Referenčne količine'!B24:B32),0),MATCH(W6,'Referenčne količine'!B25:M25,0))</f>
        <v>Glasbena šola Brežice</v>
      </c>
      <c r="X8" s="255" t="str">
        <f>INDEX('Referenčne količine'!B34:M42,MATCH(B8,('Referenčne količine'!B34:B42),0),MATCH(X6,'Referenčne količine'!B35:M35,0))</f>
        <v xml:space="preserve">Večgeneracijski center </v>
      </c>
      <c r="Y8" s="255" t="str">
        <f>INDEX('Referenčne količine'!B34:M42,MATCH(B8,('Referenčne količine'!B34:B42),0),MATCH(Y6,'Referenčne količine'!B35:M35,0))</f>
        <v>Balon</v>
      </c>
      <c r="Z8" s="255" t="str">
        <f>INDEX('Referenčne količine'!B34:M42,MATCH(B8,('Referenčne količine'!B34:B42),0),MATCH(Z6,'Referenčne količine'!B35:M35,0))</f>
        <v>ŠD Dobova</v>
      </c>
      <c r="AA8" s="255" t="str">
        <f>INDEX('Referenčne količine'!B34:M42,MATCH(B8,('Referenčne količine'!B34:B42),0),MATCH(AA6,'Referenčne količine'!B35:M35,0))</f>
        <v>Lekarna Brežice, Černelčeva cesta 8</v>
      </c>
      <c r="AB8" s="255" t="str">
        <f>INDEX('Referenčne količine'!B34:M42,MATCH(B8,('Referenčne količine'!B34:B42),0),MATCH(AB6,'Referenčne količine'!B35:M35,0))</f>
        <v>Osnovna šola Globoko</v>
      </c>
      <c r="AC8" s="255" t="str">
        <f>INDEX('Referenčne količine'!B34:M42,MATCH(B8,('Referenčne količine'!B34:B42),0),MATCH(AC6,'Referenčne količine'!B35:M35,0))</f>
        <v>Vrtec Dobova</v>
      </c>
      <c r="AD8" s="256" t="s">
        <v>139</v>
      </c>
    </row>
    <row r="9" spans="2:30" ht="18.75" customHeight="1" x14ac:dyDescent="0.2">
      <c r="B9" s="159" t="s">
        <v>33</v>
      </c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1"/>
    </row>
    <row r="10" spans="2:30" ht="18.75" customHeight="1" x14ac:dyDescent="0.2">
      <c r="B10" s="163" t="s">
        <v>62</v>
      </c>
      <c r="C10" s="164" t="s">
        <v>60</v>
      </c>
      <c r="D10" s="257">
        <f>INDEX('Referenčne količine'!B19:M22,MATCH(B10,('Referenčne količine'!B19:B22),0),MATCH(D6,'Referenčne količine'!B15:M15,0))</f>
        <v>133.05000000000001</v>
      </c>
      <c r="E10" s="257">
        <f>INDEX('Referenčne količine'!B19:M22,MATCH(B10,('Referenčne količine'!B19:B22),0),MATCH(E6,'Referenčne količine'!B15:M15,0))</f>
        <v>1</v>
      </c>
      <c r="F10" s="257">
        <f>INDEX('Referenčne količine'!B19:M22,MATCH(B10,('Referenčne količine'!B19:B22),0),MATCH(F6,'Referenčne količine'!B15:M15,0))</f>
        <v>1</v>
      </c>
      <c r="G10" s="257">
        <f>INDEX('Referenčne količine'!B19:M22,MATCH(B10,('Referenčne količine'!B19:B22),0),MATCH(G6,'Referenčne količine'!B15:M15,0))</f>
        <v>289.74</v>
      </c>
      <c r="H10" s="257">
        <f>INDEX('Referenčne količine'!B19:M22,MATCH(B10,('Referenčne količine'!B19:B22),0),MATCH(H6,'Referenčne količine'!B15:M15,0))</f>
        <v>1</v>
      </c>
      <c r="I10" s="257">
        <f>INDEX('Referenčne količine'!B19:M22,MATCH(B10,('Referenčne količine'!B19:B22),0),MATCH(I6,'Referenčne količine'!B15:M15,0))</f>
        <v>220.61</v>
      </c>
      <c r="J10" s="257">
        <f>INDEX('Referenčne količine'!B19:M22,MATCH(B10,('Referenčne količine'!B19:B22),0),MATCH(J6,'Referenčne količine'!B15:M15,0))</f>
        <v>95.25</v>
      </c>
      <c r="K10" s="257">
        <f>INDEX('Referenčne količine'!B19:M22,MATCH(B10,('Referenčne količine'!B19:B22),0),MATCH(K6,'Referenčne količine'!B15:M15,0))</f>
        <v>328.23</v>
      </c>
      <c r="L10" s="257">
        <f>INDEX('Referenčne količine'!B19:M22,MATCH(B10,('Referenčne količine'!B19:B22),0),MATCH(L6,'Referenčne količine'!B15:M15,0))</f>
        <v>113.83</v>
      </c>
      <c r="M10" s="257">
        <f>INDEX('Referenčne količine'!B19:M22,MATCH(B10,('Referenčne količine'!B19:B22),0),MATCH(M6,'Referenčne količine'!B15:M15,0))</f>
        <v>265.51</v>
      </c>
      <c r="N10" s="257">
        <f>INDEX('Referenčne količine'!B29:M32,MATCH(B10,('Referenčne količine'!B29:B32),0),MATCH(N6,'Referenčne količine'!B25:M25,0))</f>
        <v>36.380000000000003</v>
      </c>
      <c r="O10" s="257">
        <f>INDEX('Referenčne količine'!B29:M32,MATCH(B10,('Referenčne količine'!B29:B32),0),MATCH(O6,'Referenčne količine'!B25:M25,0))</f>
        <v>110.55</v>
      </c>
      <c r="P10" s="257">
        <f>INDEX('Referenčne količine'!B29:M32,MATCH(B10,('Referenčne količine'!B29:B32),0),MATCH(P6,'Referenčne količine'!B25:M25,0))</f>
        <v>124.83</v>
      </c>
      <c r="Q10" s="257">
        <f>INDEX('Referenčne količine'!B29:M32,MATCH(B10,('Referenčne količine'!B29:B32),0),MATCH(Q6,'Referenčne količine'!B25:M25,0))</f>
        <v>89</v>
      </c>
      <c r="R10" s="257">
        <f>INDEX('Referenčne količine'!B29:M32,MATCH(B10,('Referenčne količine'!B29:B32),0),MATCH(R6,'Referenčne količine'!B25:M25,0))</f>
        <v>103.16</v>
      </c>
      <c r="S10" s="257">
        <f>INDEX('Referenčne količine'!B29:M32,MATCH(B10,('Referenčne količine'!B29:B32),0),MATCH(S6,'Referenčne količine'!B25:M25,0))</f>
        <v>327.17</v>
      </c>
      <c r="T10" s="257">
        <f>INDEX('Referenčne količine'!B29:M32,MATCH(B10,('Referenčne količine'!B29:B32),0),MATCH(T6,'Referenčne količine'!B25:M25,0))</f>
        <v>263.27</v>
      </c>
      <c r="U10" s="257">
        <f>INDEX('Referenčne količine'!B29:M32,MATCH(B10,('Referenčne količine'!B29:B32),0),MATCH(U6,'Referenčne količine'!B25:M25,0))</f>
        <v>149.75</v>
      </c>
      <c r="V10" s="257">
        <f>INDEX('Referenčne količine'!B29:M32,MATCH(B10,('Referenčne količine'!B29:B32),0),MATCH(V6,'Referenčne količine'!B25:M25,0))</f>
        <v>12.76</v>
      </c>
      <c r="W10" s="257">
        <f>INDEX('Referenčne količine'!B29:M32,MATCH(B10,('Referenčne količine'!B29:B32),0),MATCH(W6,'Referenčne količine'!B25:M25,0))</f>
        <v>40.29</v>
      </c>
      <c r="X10" s="257">
        <f>INDEX('Referenčne količine'!B39:M42,MATCH(B10,('Referenčne količine'!B39:B42),0),MATCH(X6,'Referenčne količine'!B35:M35,0))</f>
        <v>21.64</v>
      </c>
      <c r="Y10" s="257">
        <f>INDEX('Referenčne količine'!B39:M42,MATCH(B10,('Referenčne količine'!B39:B42),0),MATCH(Y6,'Referenčne količine'!B35:M35,0))</f>
        <v>16.46</v>
      </c>
      <c r="Z10" s="257">
        <f>INDEX('Referenčne količine'!B39:M42,MATCH(B10,('Referenčne količine'!B39:B42),0),MATCH(Z6,'Referenčne količine'!B35:M35,0))</f>
        <v>41.29</v>
      </c>
      <c r="AA10" s="257">
        <f>INDEX('Referenčne količine'!B39:M42,MATCH(B10,('Referenčne količine'!B39:B42),0),MATCH(AA6,'Referenčne količine'!B35:M35,0))</f>
        <v>39.869999999999997</v>
      </c>
      <c r="AB10" s="257">
        <f>INDEX('Referenčne količine'!B39:M42,MATCH(B10,('Referenčne količine'!B39:B42),0),MATCH(AB6,'Referenčne količine'!B35:M35,0))</f>
        <v>82.12</v>
      </c>
      <c r="AC10" s="257">
        <f>INDEX('Referenčne količine'!B39:M42,MATCH(B10,('Referenčne količine'!B39:B42),0),MATCH(AC6,'Referenčne količine'!B35:M35,0))</f>
        <v>40.89</v>
      </c>
      <c r="AD10" s="258">
        <f>SUM(D10:AC10)</f>
        <v>2948.6499999999996</v>
      </c>
    </row>
    <row r="11" spans="2:30" ht="18.75" customHeight="1" x14ac:dyDescent="0.2">
      <c r="B11" s="163" t="s">
        <v>148</v>
      </c>
      <c r="C11" s="164" t="s">
        <v>46</v>
      </c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258">
        <f>SUMPRODUCT(D10:AC10,D11:AC11)/AD10</f>
        <v>0</v>
      </c>
    </row>
    <row r="12" spans="2:30" ht="18.75" customHeight="1" x14ac:dyDescent="0.2">
      <c r="B12" s="163" t="s">
        <v>64</v>
      </c>
      <c r="C12" s="164" t="s">
        <v>27</v>
      </c>
      <c r="D12" s="259">
        <f>INDEX('Referenčne količine'!B19:M22,MATCH(B12,('Referenčne količine'!B19:B22),0),MATCH(D6,'Referenčne količine'!B15:M15,0))</f>
        <v>0</v>
      </c>
      <c r="E12" s="259">
        <f>INDEX('Referenčne količine'!B19:M22,MATCH(B12,('Referenčne količine'!B19:B22),0),MATCH(E6,'Referenčne količine'!B15:M15,0))</f>
        <v>0</v>
      </c>
      <c r="F12" s="259">
        <f>INDEX('Referenčne količine'!B19:M22,MATCH(B12,('Referenčne količine'!B19:B22),0),MATCH(F6,'Referenčne količine'!B15:M15,0))</f>
        <v>0</v>
      </c>
      <c r="G12" s="259">
        <f>INDEX('Referenčne količine'!B19:M22,MATCH(B12,('Referenčne količine'!B19:B22),0),MATCH(G6,'Referenčne količine'!B15:M15,0))</f>
        <v>0</v>
      </c>
      <c r="H12" s="259">
        <f>INDEX('Referenčne količine'!B19:M22,MATCH(B12,('Referenčne količine'!B19:B22),0),MATCH(H6,'Referenčne količine'!B15:M15,0))</f>
        <v>0</v>
      </c>
      <c r="I12" s="259">
        <f>INDEX('Referenčne količine'!B19:M22,MATCH(B12,('Referenčne količine'!B19:B22),0),MATCH(I6,'Referenčne količine'!B15:M15,0))</f>
        <v>0</v>
      </c>
      <c r="J12" s="259">
        <f>INDEX('Referenčne količine'!B19:M22,MATCH(B12,('Referenčne količine'!B19:B22),0),MATCH(J6,'Referenčne količine'!B15:M15,0))</f>
        <v>0</v>
      </c>
      <c r="K12" s="259">
        <f>INDEX('Referenčne količine'!B19:M22,MATCH(B12,('Referenčne količine'!B19:B22),0),MATCH(K6,'Referenčne količine'!B15:M15,0))</f>
        <v>0</v>
      </c>
      <c r="L12" s="259">
        <f>INDEX('Referenčne količine'!B19:M22,MATCH(B12,('Referenčne količine'!B19:B22),0),MATCH(L6,'Referenčne količine'!B15:M15,0))</f>
        <v>0</v>
      </c>
      <c r="M12" s="259">
        <f>INDEX('Referenčne količine'!B19:M22,MATCH(B12,('Referenčne količine'!B19:B22),0),MATCH(M6,'Referenčne količine'!B15:M15,0))</f>
        <v>0</v>
      </c>
      <c r="N12" s="259">
        <f>INDEX('Referenčne količine'!B29:M32,MATCH(B12,('Referenčne količine'!B29:B32),0),MATCH(N6,'Referenčne količine'!B25:M25,0))</f>
        <v>0</v>
      </c>
      <c r="O12" s="259">
        <f>INDEX('Referenčne količine'!B29:M32,MATCH(B12,('Referenčne količine'!B29:B32),0),MATCH(O6,'Referenčne količine'!B25:M25,0))</f>
        <v>0</v>
      </c>
      <c r="P12" s="259">
        <f>INDEX('Referenčne količine'!B29:M32,MATCH(B12,('Referenčne količine'!B29:B32),0),MATCH(P6,'Referenčne količine'!B25:M25,0))</f>
        <v>0</v>
      </c>
      <c r="Q12" s="259">
        <f>INDEX('Referenčne količine'!B29:M32,MATCH(B12,('Referenčne količine'!B29:B32),0),MATCH(Q6,'Referenčne količine'!B25:M25,0))</f>
        <v>0</v>
      </c>
      <c r="R12" s="259">
        <f>INDEX('Referenčne količine'!B29:M32,MATCH(B12,('Referenčne količine'!B29:B32),0),MATCH(R6,'Referenčne količine'!B25:M25,0))</f>
        <v>0</v>
      </c>
      <c r="S12" s="259">
        <f>INDEX('Referenčne količine'!B29:M32,MATCH(B12,('Referenčne količine'!B29:B32),0),MATCH(S6,'Referenčne količine'!B25:M25,0))</f>
        <v>0</v>
      </c>
      <c r="T12" s="259">
        <f>INDEX('Referenčne količine'!B29:M32,MATCH(B12,('Referenčne količine'!B29:B32),0),MATCH(T6,'Referenčne količine'!B25:M25,0))</f>
        <v>0</v>
      </c>
      <c r="U12" s="259">
        <f>INDEX('Referenčne količine'!B29:M32,MATCH(B12,('Referenčne količine'!B29:B32),0),MATCH(U6,'Referenčne količine'!B25:M25,0))</f>
        <v>0</v>
      </c>
      <c r="V12" s="259">
        <f>INDEX('Referenčne količine'!B29:M32,MATCH(B12,('Referenčne količine'!B29:B32),0),MATCH(V6,'Referenčne količine'!B25:M25,0))</f>
        <v>0</v>
      </c>
      <c r="W12" s="259">
        <f>INDEX('Referenčne količine'!B29:M32,MATCH(B12,('Referenčne količine'!B29:B32),0),MATCH(W6,'Referenčne količine'!B25:M25,0))</f>
        <v>0</v>
      </c>
      <c r="X12" s="259">
        <f>INDEX('Referenčne količine'!B39:M42,MATCH(B12,('Referenčne količine'!B39:B42),0),MATCH(X6,'Referenčne količine'!B35:M35,0))</f>
        <v>0</v>
      </c>
      <c r="Y12" s="259">
        <f>INDEX('Referenčne količine'!B39:M42,MATCH(B12,('Referenčne količine'!B39:B42),0),MATCH(Y6,'Referenčne količine'!B35:M35,0))</f>
        <v>0</v>
      </c>
      <c r="Z12" s="259">
        <f>INDEX('Referenčne količine'!B39:M42,MATCH(B12,('Referenčne količine'!B39:B42),0),MATCH(Z6,'Referenčne količine'!B35:M35,0))</f>
        <v>0</v>
      </c>
      <c r="AA12" s="259">
        <f>INDEX('Referenčne količine'!B39:M42,MATCH(B12,('Referenčne količine'!B39:B42),0),MATCH(AA6,'Referenčne količine'!B35:M35,0))</f>
        <v>0</v>
      </c>
      <c r="AB12" s="259">
        <f>INDEX('Referenčne količine'!B39:M42,MATCH(B12,('Referenčne količine'!B39:B42),0),MATCH(AB6,'Referenčne količine'!B35:M35,0))</f>
        <v>0</v>
      </c>
      <c r="AC12" s="259">
        <f>INDEX('Referenčne količine'!B39:M42,MATCH(B12,('Referenčne količine'!B39:B42),0),MATCH(AC6,'Referenčne količine'!B35:M35,0))</f>
        <v>0</v>
      </c>
      <c r="AD12" s="260">
        <f>IFERROR(AD13/AD10,"")</f>
        <v>0</v>
      </c>
    </row>
    <row r="13" spans="2:30" ht="18.75" customHeight="1" x14ac:dyDescent="0.2">
      <c r="B13" s="163" t="s">
        <v>65</v>
      </c>
      <c r="C13" s="164" t="s">
        <v>61</v>
      </c>
      <c r="D13" s="259">
        <f>INDEX('Referenčne količine'!B19:M22,MATCH(B13,('Referenčne količine'!B19:B22),0),MATCH(D6,'Referenčne količine'!B15:M15,0))</f>
        <v>0</v>
      </c>
      <c r="E13" s="259">
        <f>INDEX('Referenčne količine'!B19:M22,MATCH(B13,('Referenčne količine'!B19:B22),0),MATCH(E6,'Referenčne količine'!B15:M15,0))</f>
        <v>0</v>
      </c>
      <c r="F13" s="259">
        <f>INDEX('Referenčne količine'!B19:M22,MATCH(B13,('Referenčne količine'!B19:B22),0),MATCH(F6,'Referenčne količine'!B15:M15,0))</f>
        <v>0</v>
      </c>
      <c r="G13" s="259">
        <f>INDEX('Referenčne količine'!B19:M22,MATCH(B13,('Referenčne količine'!B19:B22),0),MATCH(G6,'Referenčne količine'!B15:M15,0))</f>
        <v>0</v>
      </c>
      <c r="H13" s="259">
        <f>INDEX('Referenčne količine'!B19:M22,MATCH(B13,('Referenčne količine'!B19:B22),0),MATCH(H6,'Referenčne količine'!B15:M15,0))</f>
        <v>0</v>
      </c>
      <c r="I13" s="259">
        <f>INDEX('Referenčne količine'!B19:M22,MATCH(B13,('Referenčne količine'!B19:B22),0),MATCH(I6,'Referenčne količine'!B15:M15,0))</f>
        <v>0</v>
      </c>
      <c r="J13" s="259">
        <f>INDEX('Referenčne količine'!B19:M22,MATCH(B13,('Referenčne količine'!B19:B22),0),MATCH(J6,'Referenčne količine'!B15:M15,0))</f>
        <v>0</v>
      </c>
      <c r="K13" s="259">
        <f>INDEX('Referenčne količine'!B19:M22,MATCH(B13,('Referenčne količine'!B19:B22),0),MATCH(K6,'Referenčne količine'!B15:M15,0))</f>
        <v>0</v>
      </c>
      <c r="L13" s="259">
        <f>INDEX('Referenčne količine'!B19:M22,MATCH(B13,('Referenčne količine'!B19:B22),0),MATCH(L6,'Referenčne količine'!B15:M15,0))</f>
        <v>0</v>
      </c>
      <c r="M13" s="259">
        <f>INDEX('Referenčne količine'!B19:M22,MATCH(B13,('Referenčne količine'!B19:B22),0),MATCH(M6,'Referenčne količine'!B15:M15,0))</f>
        <v>0</v>
      </c>
      <c r="N13" s="259">
        <f>INDEX('Referenčne količine'!B29:M32,MATCH(B13,('Referenčne količine'!B29:B32),0),MATCH(N6,'Referenčne količine'!B25:M25,0))</f>
        <v>0</v>
      </c>
      <c r="O13" s="259">
        <f>INDEX('Referenčne količine'!B29:M32,MATCH(B13,('Referenčne količine'!B29:B32),0),MATCH(O6,'Referenčne količine'!B25:M25,0))</f>
        <v>0</v>
      </c>
      <c r="P13" s="259">
        <f>INDEX('Referenčne količine'!B29:M32,MATCH(B13,('Referenčne količine'!B29:B32),0),MATCH(P6,'Referenčne količine'!B25:M25,0))</f>
        <v>0</v>
      </c>
      <c r="Q13" s="259">
        <f>INDEX('Referenčne količine'!B29:M32,MATCH(B13,('Referenčne količine'!B29:B32),0),MATCH(Q6,'Referenčne količine'!B25:M25,0))</f>
        <v>0</v>
      </c>
      <c r="R13" s="259">
        <f>INDEX('Referenčne količine'!B29:M32,MATCH(B13,('Referenčne količine'!B29:B32),0),MATCH(R6,'Referenčne količine'!B25:M25,0))</f>
        <v>0</v>
      </c>
      <c r="S13" s="259">
        <f>INDEX('Referenčne količine'!B29:M32,MATCH(B13,('Referenčne količine'!B29:B32),0),MATCH(S6,'Referenčne količine'!B25:M25,0))</f>
        <v>0</v>
      </c>
      <c r="T13" s="259">
        <f>INDEX('Referenčne količine'!B29:M32,MATCH(B13,('Referenčne količine'!B29:B32),0),MATCH(T6,'Referenčne količine'!B25:M25,0))</f>
        <v>0</v>
      </c>
      <c r="U13" s="259">
        <f>INDEX('Referenčne količine'!B29:M32,MATCH(B13,('Referenčne količine'!B29:B32),0),MATCH(U6,'Referenčne količine'!B25:M25,0))</f>
        <v>0</v>
      </c>
      <c r="V13" s="259">
        <f>INDEX('Referenčne količine'!B29:M32,MATCH(B13,('Referenčne količine'!B29:B32),0),MATCH(V6,'Referenčne količine'!B25:M25,0))</f>
        <v>0</v>
      </c>
      <c r="W13" s="259">
        <f>INDEX('Referenčne količine'!B29:M32,MATCH(B13,('Referenčne količine'!B29:B32),0),MATCH(W6,'Referenčne količine'!B25:M25,0))</f>
        <v>0</v>
      </c>
      <c r="X13" s="259">
        <f>INDEX('Referenčne količine'!B39:M42,MATCH(B13,('Referenčne količine'!B39:B42),0),MATCH(X6,'Referenčne količine'!B35:M35,0))</f>
        <v>0</v>
      </c>
      <c r="Y13" s="259">
        <f>INDEX('Referenčne količine'!B39:M42,MATCH(B13,('Referenčne količine'!B39:B42),0),MATCH(Y6,'Referenčne količine'!B35:M35,0))</f>
        <v>0</v>
      </c>
      <c r="Z13" s="259">
        <f>INDEX('Referenčne količine'!B39:M42,MATCH(B13,('Referenčne količine'!B39:B42),0),MATCH(Z6,'Referenčne količine'!B35:M35,0))</f>
        <v>0</v>
      </c>
      <c r="AA13" s="259">
        <f>INDEX('Referenčne količine'!B39:M42,MATCH(B13,('Referenčne količine'!B39:B42),0),MATCH(AA6,'Referenčne količine'!B35:M35,0))</f>
        <v>0</v>
      </c>
      <c r="AB13" s="259">
        <f>INDEX('Referenčne količine'!B39:M42,MATCH(B13,('Referenčne količine'!B39:B42),0),MATCH(AB6,'Referenčne količine'!B35:M35,0))</f>
        <v>0</v>
      </c>
      <c r="AC13" s="259">
        <f>INDEX('Referenčne količine'!B39:M42,MATCH(B13,('Referenčne količine'!B39:B42),0),MATCH(AB6,'Referenčne količine'!B35:M35,0))</f>
        <v>0</v>
      </c>
      <c r="AD13" s="260">
        <f>SUM(D13:AC13)</f>
        <v>0</v>
      </c>
    </row>
    <row r="14" spans="2:30" ht="18.75" customHeight="1" thickBot="1" x14ac:dyDescent="0.25">
      <c r="B14" s="261" t="s">
        <v>145</v>
      </c>
      <c r="C14" s="262" t="s">
        <v>27</v>
      </c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263">
        <f>IFERROR(SUMPRODUCT(D14:AC14,D25:AC25)/AD25,IFERROR(AVERAGE(D14:AC14),0))</f>
        <v>0</v>
      </c>
    </row>
    <row r="15" spans="2:30" ht="18.75" customHeight="1" x14ac:dyDescent="0.2">
      <c r="B15" s="264" t="s">
        <v>77</v>
      </c>
      <c r="C15" s="265"/>
      <c r="D15" s="265"/>
      <c r="E15" s="265"/>
      <c r="F15" s="265"/>
      <c r="G15" s="265"/>
      <c r="H15" s="265"/>
      <c r="I15" s="265"/>
      <c r="J15" s="265"/>
      <c r="K15" s="265"/>
      <c r="L15" s="265"/>
      <c r="M15" s="265"/>
      <c r="N15" s="265"/>
      <c r="O15" s="265"/>
      <c r="P15" s="265"/>
      <c r="Q15" s="265"/>
      <c r="R15" s="265"/>
      <c r="S15" s="265"/>
      <c r="T15" s="265"/>
      <c r="U15" s="265"/>
      <c r="V15" s="265"/>
      <c r="W15" s="265"/>
      <c r="X15" s="265"/>
      <c r="Y15" s="265"/>
      <c r="Z15" s="265"/>
      <c r="AA15" s="265"/>
      <c r="AB15" s="265"/>
      <c r="AC15" s="265"/>
      <c r="AD15" s="266"/>
    </row>
    <row r="16" spans="2:30" ht="18.75" customHeight="1" x14ac:dyDescent="0.2">
      <c r="B16" s="171" t="s">
        <v>140</v>
      </c>
      <c r="C16" s="172" t="s">
        <v>141</v>
      </c>
      <c r="D16" s="267">
        <f>IFERROR(VLOOKUP(D6,'Osnovni podatki'!B6:I41,7,FALSE),"")</f>
        <v>160.16</v>
      </c>
      <c r="E16" s="267">
        <f>IFERROR(VLOOKUP(E6,'Osnovni podatki'!B6:I41,7,FALSE),"")</f>
        <v>48.84</v>
      </c>
      <c r="F16" s="267">
        <f>IFERROR(VLOOKUP(F6,'Osnovni podatki'!B6:I41,7,FALSE),"")</f>
        <v>57.2</v>
      </c>
      <c r="G16" s="267">
        <f>IFERROR(VLOOKUP(G6,'Osnovni podatki'!B6:I41,7,FALSE),"")</f>
        <v>77.44</v>
      </c>
      <c r="H16" s="267">
        <f>IFERROR(VLOOKUP(H6,'Osnovni podatki'!B6:I41,7,FALSE),"")</f>
        <v>58.96</v>
      </c>
      <c r="I16" s="267">
        <f>IFERROR(VLOOKUP(I6,'Osnovni podatki'!B6:I41,7,FALSE),"")</f>
        <v>100.32</v>
      </c>
      <c r="J16" s="267">
        <f>IFERROR(VLOOKUP(J6,'Osnovni podatki'!B6:I41,7,FALSE),"")</f>
        <v>293.04000000000002</v>
      </c>
      <c r="K16" s="267">
        <f>IFERROR(VLOOKUP(K6,'Osnovni podatki'!B6:I41,7,FALSE),"")</f>
        <v>225.72</v>
      </c>
      <c r="L16" s="267">
        <f>IFERROR(VLOOKUP(L6,'Osnovni podatki'!B6:I41,7,FALSE),"")</f>
        <v>149.6</v>
      </c>
      <c r="M16" s="267">
        <f>IFERROR(VLOOKUP(M6,'Osnovni podatki'!B6:I41,7,FALSE),"")</f>
        <v>230.56</v>
      </c>
      <c r="N16" s="267">
        <f>IFERROR(VLOOKUP(N6,'Osnovni podatki'!B6:I41,7,FALSE),"")</f>
        <v>107.8</v>
      </c>
      <c r="O16" s="267">
        <f>IFERROR(VLOOKUP(O6,'Osnovni podatki'!B6:I41,7,FALSE),"")</f>
        <v>54.12</v>
      </c>
      <c r="P16" s="267">
        <f>IFERROR(VLOOKUP(P6,'Osnovni podatki'!B6:I41,7,FALSE),"")</f>
        <v>178.2</v>
      </c>
      <c r="Q16" s="267">
        <f>IFERROR(VLOOKUP(Q6,'Osnovni podatki'!B6:I41,7,FALSE),"")</f>
        <v>177.08</v>
      </c>
      <c r="R16" s="267">
        <f>IFERROR(VLOOKUP(R6,'Osnovni podatki'!B6:I41,7,FALSE),"")</f>
        <v>26.4</v>
      </c>
      <c r="S16" s="267">
        <f>IFERROR(VLOOKUP(S6,'Osnovni podatki'!B6:I41,7,FALSE),"")</f>
        <v>172.48</v>
      </c>
      <c r="T16" s="267">
        <f>IFERROR(VLOOKUP(T6,'Osnovni podatki'!B6:I41,7,FALSE),"")</f>
        <v>158.4</v>
      </c>
      <c r="U16" s="267">
        <f>IFERROR(VLOOKUP(U6,'Osnovni podatki'!B6:I41,7,FALSE),"")</f>
        <v>0</v>
      </c>
      <c r="V16" s="267">
        <f>IFERROR(VLOOKUP(V6,'Osnovni podatki'!B6:I41,7,FALSE),"")</f>
        <v>0</v>
      </c>
      <c r="W16" s="267">
        <f>IFERROR(VLOOKUP(W6,'Osnovni podatki'!B6:I41,7,FALSE),"")</f>
        <v>0</v>
      </c>
      <c r="X16" s="267">
        <f>IFERROR(VLOOKUP(X6,'Osnovni podatki'!B6:I41,7,FALSE),"")</f>
        <v>0</v>
      </c>
      <c r="Y16" s="267">
        <f>IFERROR(VLOOKUP(Y6,'Osnovni podatki'!B6:I41,7,FALSE),"")</f>
        <v>0</v>
      </c>
      <c r="Z16" s="267">
        <f>IFERROR(VLOOKUP(Z6,'Osnovni podatki'!B6:I41,7,FALSE),"")</f>
        <v>0</v>
      </c>
      <c r="AA16" s="267">
        <f>IFERROR(VLOOKUP(AA6,'Osnovni podatki'!B6:I41,7,FALSE),"")</f>
        <v>0</v>
      </c>
      <c r="AB16" s="267">
        <f>IFERROR(VLOOKUP(AC6,'Osnovni podatki'!B6:I41,7,FALSE),"")</f>
        <v>0</v>
      </c>
      <c r="AC16" s="267">
        <f>IFERROR(VLOOKUP(AC6,'Osnovni podatki'!B6:I41,7,FALSE),"")</f>
        <v>0</v>
      </c>
      <c r="AD16" s="258">
        <f>SUM(D16:AC16)</f>
        <v>2276.3199999999997</v>
      </c>
    </row>
    <row r="17" spans="2:30" ht="18.75" customHeight="1" x14ac:dyDescent="0.2">
      <c r="B17" s="171" t="s">
        <v>77</v>
      </c>
      <c r="C17" s="172" t="s">
        <v>28</v>
      </c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8"/>
      <c r="O17" s="248"/>
      <c r="P17" s="248"/>
      <c r="Q17" s="248"/>
      <c r="R17" s="248"/>
      <c r="S17" s="248"/>
      <c r="T17" s="248"/>
      <c r="U17" s="248"/>
      <c r="V17" s="248"/>
      <c r="W17" s="248"/>
      <c r="X17" s="248"/>
      <c r="Y17" s="248"/>
      <c r="Z17" s="248"/>
      <c r="AA17" s="248"/>
      <c r="AB17" s="248"/>
      <c r="AC17" s="248"/>
      <c r="AD17" s="258">
        <f>SUM(D17:AC17)</f>
        <v>0</v>
      </c>
    </row>
    <row r="18" spans="2:30" ht="18.75" customHeight="1" x14ac:dyDescent="0.2">
      <c r="B18" s="171" t="s">
        <v>79</v>
      </c>
      <c r="C18" s="172" t="s">
        <v>28</v>
      </c>
      <c r="D18" s="248">
        <v>57337.279999999999</v>
      </c>
      <c r="E18" s="248">
        <v>17484.72</v>
      </c>
      <c r="F18" s="248">
        <v>20477.600000000002</v>
      </c>
      <c r="G18" s="248">
        <v>27723.52</v>
      </c>
      <c r="H18" s="248">
        <v>21107.68</v>
      </c>
      <c r="I18" s="248">
        <v>35914.559999999998</v>
      </c>
      <c r="J18" s="248">
        <v>104908.32</v>
      </c>
      <c r="K18" s="248">
        <v>80807.759999999995</v>
      </c>
      <c r="L18" s="248">
        <v>53556.799999999996</v>
      </c>
      <c r="M18" s="248">
        <v>82540.479999999996</v>
      </c>
      <c r="N18" s="248">
        <v>38592.400000000001</v>
      </c>
      <c r="O18" s="248">
        <v>19374.96</v>
      </c>
      <c r="P18" s="248">
        <v>63795.6</v>
      </c>
      <c r="Q18" s="248">
        <v>63394.640000000007</v>
      </c>
      <c r="R18" s="248">
        <v>9451.1999999999989</v>
      </c>
      <c r="S18" s="248">
        <v>61747.839999999997</v>
      </c>
      <c r="T18" s="248">
        <v>0</v>
      </c>
      <c r="U18" s="248">
        <v>0</v>
      </c>
      <c r="V18" s="248">
        <v>0</v>
      </c>
      <c r="W18" s="248">
        <v>0</v>
      </c>
      <c r="X18" s="248">
        <v>0</v>
      </c>
      <c r="Y18" s="248">
        <v>0</v>
      </c>
      <c r="Z18" s="248">
        <v>0</v>
      </c>
      <c r="AA18" s="248">
        <v>0</v>
      </c>
      <c r="AB18" s="248">
        <v>0</v>
      </c>
      <c r="AC18" s="248">
        <v>0</v>
      </c>
      <c r="AD18" s="258">
        <f>SUM(D18:AC18)</f>
        <v>758215.35999999987</v>
      </c>
    </row>
    <row r="19" spans="2:30" ht="18.75" customHeight="1" x14ac:dyDescent="0.2">
      <c r="B19" s="174" t="s">
        <v>147</v>
      </c>
      <c r="C19" s="175" t="s">
        <v>146</v>
      </c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268">
        <f>IFERROR(AD21/AD17,0)</f>
        <v>0</v>
      </c>
    </row>
    <row r="20" spans="2:30" ht="18.75" customHeight="1" x14ac:dyDescent="0.2">
      <c r="B20" s="174" t="s">
        <v>200</v>
      </c>
      <c r="C20" s="175" t="s">
        <v>28</v>
      </c>
      <c r="D20" s="259">
        <f>D17-D18-D21</f>
        <v>-57337.279999999999</v>
      </c>
      <c r="E20" s="259">
        <f t="shared" ref="E20:AC20" si="0">E17-E18-E21</f>
        <v>-17484.72</v>
      </c>
      <c r="F20" s="259">
        <f t="shared" si="0"/>
        <v>-20477.600000000002</v>
      </c>
      <c r="G20" s="259">
        <f t="shared" si="0"/>
        <v>-27723.52</v>
      </c>
      <c r="H20" s="259">
        <f t="shared" si="0"/>
        <v>-21107.68</v>
      </c>
      <c r="I20" s="259">
        <f t="shared" si="0"/>
        <v>-35914.559999999998</v>
      </c>
      <c r="J20" s="259">
        <f t="shared" si="0"/>
        <v>-104908.32</v>
      </c>
      <c r="K20" s="259">
        <f t="shared" si="0"/>
        <v>-80807.759999999995</v>
      </c>
      <c r="L20" s="259">
        <f t="shared" si="0"/>
        <v>-53556.799999999996</v>
      </c>
      <c r="M20" s="259">
        <f t="shared" si="0"/>
        <v>-82540.479999999996</v>
      </c>
      <c r="N20" s="259">
        <f t="shared" si="0"/>
        <v>-38592.400000000001</v>
      </c>
      <c r="O20" s="259">
        <f t="shared" si="0"/>
        <v>-19374.96</v>
      </c>
      <c r="P20" s="259">
        <f t="shared" si="0"/>
        <v>-63795.6</v>
      </c>
      <c r="Q20" s="259">
        <f t="shared" si="0"/>
        <v>-63394.640000000007</v>
      </c>
      <c r="R20" s="259">
        <f t="shared" si="0"/>
        <v>-9451.1999999999989</v>
      </c>
      <c r="S20" s="259">
        <f t="shared" si="0"/>
        <v>-61747.839999999997</v>
      </c>
      <c r="T20" s="259">
        <f t="shared" si="0"/>
        <v>0</v>
      </c>
      <c r="U20" s="259">
        <f t="shared" si="0"/>
        <v>0</v>
      </c>
      <c r="V20" s="259">
        <f t="shared" si="0"/>
        <v>0</v>
      </c>
      <c r="W20" s="259">
        <f t="shared" si="0"/>
        <v>0</v>
      </c>
      <c r="X20" s="259">
        <f t="shared" si="0"/>
        <v>0</v>
      </c>
      <c r="Y20" s="259">
        <f t="shared" si="0"/>
        <v>0</v>
      </c>
      <c r="Z20" s="259">
        <f t="shared" si="0"/>
        <v>0</v>
      </c>
      <c r="AA20" s="259">
        <f t="shared" si="0"/>
        <v>0</v>
      </c>
      <c r="AB20" s="259">
        <f t="shared" si="0"/>
        <v>0</v>
      </c>
      <c r="AC20" s="259">
        <f t="shared" si="0"/>
        <v>0</v>
      </c>
      <c r="AD20" s="260">
        <f>SUM(D20:AC20)</f>
        <v>-758215.35999999987</v>
      </c>
    </row>
    <row r="21" spans="2:30" ht="18.75" customHeight="1" thickBot="1" x14ac:dyDescent="0.25">
      <c r="B21" s="174" t="s">
        <v>202</v>
      </c>
      <c r="C21" s="175" t="s">
        <v>28</v>
      </c>
      <c r="D21" s="269">
        <f>D17*D19</f>
        <v>0</v>
      </c>
      <c r="E21" s="269">
        <f>E17*E19</f>
        <v>0</v>
      </c>
      <c r="F21" s="269">
        <f>F17*F19</f>
        <v>0</v>
      </c>
      <c r="G21" s="269">
        <f>G17*G19</f>
        <v>0</v>
      </c>
      <c r="H21" s="269">
        <f t="shared" ref="H21:AC21" si="1">H17*H19</f>
        <v>0</v>
      </c>
      <c r="I21" s="269">
        <f t="shared" si="1"/>
        <v>0</v>
      </c>
      <c r="J21" s="269">
        <f t="shared" si="1"/>
        <v>0</v>
      </c>
      <c r="K21" s="269">
        <f t="shared" si="1"/>
        <v>0</v>
      </c>
      <c r="L21" s="269">
        <f t="shared" si="1"/>
        <v>0</v>
      </c>
      <c r="M21" s="269">
        <f t="shared" si="1"/>
        <v>0</v>
      </c>
      <c r="N21" s="269">
        <f t="shared" si="1"/>
        <v>0</v>
      </c>
      <c r="O21" s="269">
        <f t="shared" si="1"/>
        <v>0</v>
      </c>
      <c r="P21" s="269">
        <f t="shared" si="1"/>
        <v>0</v>
      </c>
      <c r="Q21" s="269">
        <f t="shared" si="1"/>
        <v>0</v>
      </c>
      <c r="R21" s="269">
        <f t="shared" si="1"/>
        <v>0</v>
      </c>
      <c r="S21" s="269">
        <f t="shared" si="1"/>
        <v>0</v>
      </c>
      <c r="T21" s="269">
        <f t="shared" si="1"/>
        <v>0</v>
      </c>
      <c r="U21" s="269">
        <f t="shared" si="1"/>
        <v>0</v>
      </c>
      <c r="V21" s="269">
        <f t="shared" si="1"/>
        <v>0</v>
      </c>
      <c r="W21" s="269">
        <f t="shared" si="1"/>
        <v>0</v>
      </c>
      <c r="X21" s="269">
        <f t="shared" si="1"/>
        <v>0</v>
      </c>
      <c r="Y21" s="269">
        <f t="shared" si="1"/>
        <v>0</v>
      </c>
      <c r="Z21" s="269">
        <f t="shared" si="1"/>
        <v>0</v>
      </c>
      <c r="AA21" s="269">
        <f t="shared" si="1"/>
        <v>0</v>
      </c>
      <c r="AB21" s="269">
        <f t="shared" si="1"/>
        <v>0</v>
      </c>
      <c r="AC21" s="269">
        <f t="shared" si="1"/>
        <v>0</v>
      </c>
      <c r="AD21" s="270">
        <f>SUM(D21:AC21)</f>
        <v>0</v>
      </c>
    </row>
    <row r="22" spans="2:30" ht="18.75" customHeight="1" x14ac:dyDescent="0.2">
      <c r="B22" s="177" t="s">
        <v>66</v>
      </c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9"/>
    </row>
    <row r="23" spans="2:30" ht="18.75" customHeight="1" x14ac:dyDescent="0.2">
      <c r="B23" s="180" t="s">
        <v>67</v>
      </c>
      <c r="C23" s="181" t="s">
        <v>60</v>
      </c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258">
        <f>SUM(D23:AC23)</f>
        <v>0</v>
      </c>
    </row>
    <row r="24" spans="2:30" ht="18.75" customHeight="1" x14ac:dyDescent="0.2">
      <c r="B24" s="182" t="s">
        <v>137</v>
      </c>
      <c r="C24" s="183" t="s">
        <v>60</v>
      </c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258">
        <f>SUM(D24:AC24)</f>
        <v>0</v>
      </c>
    </row>
    <row r="25" spans="2:30" ht="18.75" customHeight="1" x14ac:dyDescent="0.2">
      <c r="B25" s="182" t="s">
        <v>138</v>
      </c>
      <c r="C25" s="183" t="s">
        <v>60</v>
      </c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258">
        <f>SUM(D25:AC25)</f>
        <v>0</v>
      </c>
    </row>
    <row r="26" spans="2:30" ht="18.75" customHeight="1" thickBot="1" x14ac:dyDescent="0.25">
      <c r="B26" s="184" t="s">
        <v>198</v>
      </c>
      <c r="C26" s="185" t="s">
        <v>60</v>
      </c>
      <c r="D26" s="259">
        <f>D10-D24</f>
        <v>133.05000000000001</v>
      </c>
      <c r="E26" s="259">
        <f t="shared" ref="E26:AC26" si="2">E10-E24</f>
        <v>1</v>
      </c>
      <c r="F26" s="259">
        <f t="shared" si="2"/>
        <v>1</v>
      </c>
      <c r="G26" s="259">
        <f t="shared" si="2"/>
        <v>289.74</v>
      </c>
      <c r="H26" s="259">
        <f t="shared" si="2"/>
        <v>1</v>
      </c>
      <c r="I26" s="259">
        <f t="shared" si="2"/>
        <v>220.61</v>
      </c>
      <c r="J26" s="259">
        <f t="shared" si="2"/>
        <v>95.25</v>
      </c>
      <c r="K26" s="259">
        <f t="shared" si="2"/>
        <v>328.23</v>
      </c>
      <c r="L26" s="259">
        <f t="shared" si="2"/>
        <v>113.83</v>
      </c>
      <c r="M26" s="259">
        <f t="shared" si="2"/>
        <v>265.51</v>
      </c>
      <c r="N26" s="259">
        <f t="shared" si="2"/>
        <v>36.380000000000003</v>
      </c>
      <c r="O26" s="259">
        <f t="shared" si="2"/>
        <v>110.55</v>
      </c>
      <c r="P26" s="259">
        <f t="shared" si="2"/>
        <v>124.83</v>
      </c>
      <c r="Q26" s="259">
        <f t="shared" si="2"/>
        <v>89</v>
      </c>
      <c r="R26" s="259">
        <f t="shared" si="2"/>
        <v>103.16</v>
      </c>
      <c r="S26" s="259">
        <f t="shared" si="2"/>
        <v>327.17</v>
      </c>
      <c r="T26" s="259">
        <f t="shared" si="2"/>
        <v>263.27</v>
      </c>
      <c r="U26" s="259">
        <f t="shared" si="2"/>
        <v>149.75</v>
      </c>
      <c r="V26" s="259">
        <f t="shared" si="2"/>
        <v>12.76</v>
      </c>
      <c r="W26" s="259">
        <f t="shared" si="2"/>
        <v>40.29</v>
      </c>
      <c r="X26" s="259">
        <f t="shared" si="2"/>
        <v>21.64</v>
      </c>
      <c r="Y26" s="259">
        <f t="shared" si="2"/>
        <v>16.46</v>
      </c>
      <c r="Z26" s="259">
        <f t="shared" si="2"/>
        <v>41.29</v>
      </c>
      <c r="AA26" s="259">
        <f t="shared" si="2"/>
        <v>39.869999999999997</v>
      </c>
      <c r="AB26" s="259">
        <f t="shared" si="2"/>
        <v>82.12</v>
      </c>
      <c r="AC26" s="259">
        <f t="shared" si="2"/>
        <v>40.89</v>
      </c>
      <c r="AD26" s="260">
        <f>SUM(D26:AC26)</f>
        <v>2948.6499999999996</v>
      </c>
    </row>
    <row r="27" spans="2:30" ht="18.75" customHeight="1" x14ac:dyDescent="0.2">
      <c r="B27" s="187" t="s">
        <v>68</v>
      </c>
      <c r="C27" s="271"/>
      <c r="D27" s="271"/>
      <c r="E27" s="271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1"/>
      <c r="T27" s="271"/>
      <c r="U27" s="271"/>
      <c r="V27" s="271"/>
      <c r="W27" s="271"/>
      <c r="X27" s="271"/>
      <c r="Y27" s="271"/>
      <c r="Z27" s="271"/>
      <c r="AA27" s="271"/>
      <c r="AB27" s="271"/>
      <c r="AC27" s="271"/>
      <c r="AD27" s="272"/>
    </row>
    <row r="28" spans="2:30" ht="18.75" customHeight="1" x14ac:dyDescent="0.2">
      <c r="B28" s="190" t="s">
        <v>216</v>
      </c>
      <c r="C28" s="191" t="s">
        <v>197</v>
      </c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258">
        <f>AD29/AD16</f>
        <v>0</v>
      </c>
    </row>
    <row r="29" spans="2:30" ht="18.75" customHeight="1" thickBot="1" x14ac:dyDescent="0.25">
      <c r="B29" s="192" t="s">
        <v>76</v>
      </c>
      <c r="C29" s="193" t="s">
        <v>61</v>
      </c>
      <c r="D29" s="273">
        <f>D16*D28</f>
        <v>0</v>
      </c>
      <c r="E29" s="273">
        <f t="shared" ref="E29:AC29" si="3">E16*E28</f>
        <v>0</v>
      </c>
      <c r="F29" s="273">
        <f t="shared" si="3"/>
        <v>0</v>
      </c>
      <c r="G29" s="273">
        <f t="shared" si="3"/>
        <v>0</v>
      </c>
      <c r="H29" s="273">
        <f t="shared" si="3"/>
        <v>0</v>
      </c>
      <c r="I29" s="273">
        <f t="shared" si="3"/>
        <v>0</v>
      </c>
      <c r="J29" s="273">
        <f t="shared" si="3"/>
        <v>0</v>
      </c>
      <c r="K29" s="273">
        <f t="shared" si="3"/>
        <v>0</v>
      </c>
      <c r="L29" s="273">
        <f t="shared" si="3"/>
        <v>0</v>
      </c>
      <c r="M29" s="273">
        <f t="shared" si="3"/>
        <v>0</v>
      </c>
      <c r="N29" s="273">
        <f t="shared" si="3"/>
        <v>0</v>
      </c>
      <c r="O29" s="273">
        <f t="shared" si="3"/>
        <v>0</v>
      </c>
      <c r="P29" s="273">
        <f t="shared" si="3"/>
        <v>0</v>
      </c>
      <c r="Q29" s="273">
        <f t="shared" si="3"/>
        <v>0</v>
      </c>
      <c r="R29" s="273">
        <f t="shared" si="3"/>
        <v>0</v>
      </c>
      <c r="S29" s="273">
        <f t="shared" si="3"/>
        <v>0</v>
      </c>
      <c r="T29" s="273">
        <f t="shared" si="3"/>
        <v>0</v>
      </c>
      <c r="U29" s="273">
        <f t="shared" si="3"/>
        <v>0</v>
      </c>
      <c r="V29" s="273">
        <f t="shared" si="3"/>
        <v>0</v>
      </c>
      <c r="W29" s="273">
        <f t="shared" si="3"/>
        <v>0</v>
      </c>
      <c r="X29" s="273">
        <f t="shared" si="3"/>
        <v>0</v>
      </c>
      <c r="Y29" s="273">
        <f t="shared" si="3"/>
        <v>0</v>
      </c>
      <c r="Z29" s="273">
        <f t="shared" si="3"/>
        <v>0</v>
      </c>
      <c r="AA29" s="273">
        <f t="shared" si="3"/>
        <v>0</v>
      </c>
      <c r="AB29" s="273">
        <f>AB16*AB28</f>
        <v>0</v>
      </c>
      <c r="AC29" s="273">
        <f t="shared" si="3"/>
        <v>0</v>
      </c>
      <c r="AD29" s="274">
        <f>SUM(D29:AC29)</f>
        <v>0</v>
      </c>
    </row>
    <row r="30" spans="2:30" ht="18.75" customHeight="1" x14ac:dyDescent="0.2">
      <c r="B30" s="275" t="s">
        <v>199</v>
      </c>
      <c r="C30" s="276"/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276"/>
      <c r="O30" s="276"/>
      <c r="P30" s="276"/>
      <c r="Q30" s="276"/>
      <c r="R30" s="276"/>
      <c r="S30" s="276"/>
      <c r="T30" s="276"/>
      <c r="U30" s="276"/>
      <c r="V30" s="276"/>
      <c r="W30" s="276"/>
      <c r="X30" s="276"/>
      <c r="Y30" s="276"/>
      <c r="Z30" s="276"/>
      <c r="AA30" s="276"/>
      <c r="AB30" s="276"/>
      <c r="AC30" s="276"/>
      <c r="AD30" s="277"/>
    </row>
    <row r="31" spans="2:30" ht="18.75" customHeight="1" thickBot="1" x14ac:dyDescent="0.25">
      <c r="B31" s="278" t="s">
        <v>143</v>
      </c>
      <c r="C31" s="199" t="s">
        <v>27</v>
      </c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274">
        <f>SUMPRODUCT(D10:AC10,D31:AC31)/AD10</f>
        <v>0</v>
      </c>
    </row>
    <row r="32" spans="2:30" ht="18.75" customHeight="1" x14ac:dyDescent="0.2">
      <c r="B32" s="200" t="s">
        <v>69</v>
      </c>
      <c r="C32" s="201"/>
      <c r="D32" s="201"/>
      <c r="E32" s="201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2"/>
    </row>
    <row r="33" spans="2:30" ht="18.75" customHeight="1" x14ac:dyDescent="0.2">
      <c r="B33" s="203" t="s">
        <v>30</v>
      </c>
      <c r="C33" s="279" t="s">
        <v>61</v>
      </c>
      <c r="D33" s="257">
        <f>D13</f>
        <v>0</v>
      </c>
      <c r="E33" s="257">
        <f t="shared" ref="E33:AC33" si="4">E13</f>
        <v>0</v>
      </c>
      <c r="F33" s="257">
        <f t="shared" si="4"/>
        <v>0</v>
      </c>
      <c r="G33" s="257">
        <f t="shared" si="4"/>
        <v>0</v>
      </c>
      <c r="H33" s="257">
        <f t="shared" si="4"/>
        <v>0</v>
      </c>
      <c r="I33" s="257">
        <f t="shared" si="4"/>
        <v>0</v>
      </c>
      <c r="J33" s="257">
        <f t="shared" si="4"/>
        <v>0</v>
      </c>
      <c r="K33" s="257">
        <f t="shared" si="4"/>
        <v>0</v>
      </c>
      <c r="L33" s="257">
        <f t="shared" si="4"/>
        <v>0</v>
      </c>
      <c r="M33" s="257">
        <f t="shared" si="4"/>
        <v>0</v>
      </c>
      <c r="N33" s="257">
        <f t="shared" si="4"/>
        <v>0</v>
      </c>
      <c r="O33" s="257">
        <f t="shared" si="4"/>
        <v>0</v>
      </c>
      <c r="P33" s="257">
        <f t="shared" si="4"/>
        <v>0</v>
      </c>
      <c r="Q33" s="257">
        <f t="shared" si="4"/>
        <v>0</v>
      </c>
      <c r="R33" s="257">
        <f t="shared" si="4"/>
        <v>0</v>
      </c>
      <c r="S33" s="257">
        <f t="shared" si="4"/>
        <v>0</v>
      </c>
      <c r="T33" s="257">
        <f t="shared" si="4"/>
        <v>0</v>
      </c>
      <c r="U33" s="257">
        <f t="shared" si="4"/>
        <v>0</v>
      </c>
      <c r="V33" s="257">
        <f t="shared" si="4"/>
        <v>0</v>
      </c>
      <c r="W33" s="257">
        <f t="shared" si="4"/>
        <v>0</v>
      </c>
      <c r="X33" s="257">
        <f t="shared" si="4"/>
        <v>0</v>
      </c>
      <c r="Y33" s="257">
        <f t="shared" si="4"/>
        <v>0</v>
      </c>
      <c r="Z33" s="257">
        <f t="shared" si="4"/>
        <v>0</v>
      </c>
      <c r="AA33" s="257">
        <f t="shared" si="4"/>
        <v>0</v>
      </c>
      <c r="AB33" s="257">
        <f t="shared" ref="AB33" si="5">AB13</f>
        <v>0</v>
      </c>
      <c r="AC33" s="257">
        <f t="shared" si="4"/>
        <v>0</v>
      </c>
      <c r="AD33" s="258">
        <f>SUM(D33:AC33)</f>
        <v>0</v>
      </c>
    </row>
    <row r="34" spans="2:30" ht="18.75" customHeight="1" thickBot="1" x14ac:dyDescent="0.25">
      <c r="B34" s="205" t="s">
        <v>144</v>
      </c>
      <c r="C34" s="280" t="s">
        <v>61</v>
      </c>
      <c r="D34" s="281">
        <f>D10*D31</f>
        <v>0</v>
      </c>
      <c r="E34" s="281">
        <f t="shared" ref="E34:AC34" si="6">E10*E31</f>
        <v>0</v>
      </c>
      <c r="F34" s="281">
        <f t="shared" si="6"/>
        <v>0</v>
      </c>
      <c r="G34" s="281">
        <f t="shared" si="6"/>
        <v>0</v>
      </c>
      <c r="H34" s="281">
        <f t="shared" si="6"/>
        <v>0</v>
      </c>
      <c r="I34" s="281">
        <f t="shared" si="6"/>
        <v>0</v>
      </c>
      <c r="J34" s="281">
        <f t="shared" si="6"/>
        <v>0</v>
      </c>
      <c r="K34" s="281">
        <f t="shared" si="6"/>
        <v>0</v>
      </c>
      <c r="L34" s="281">
        <f t="shared" si="6"/>
        <v>0</v>
      </c>
      <c r="M34" s="281">
        <f t="shared" si="6"/>
        <v>0</v>
      </c>
      <c r="N34" s="281">
        <f t="shared" si="6"/>
        <v>0</v>
      </c>
      <c r="O34" s="281">
        <f t="shared" si="6"/>
        <v>0</v>
      </c>
      <c r="P34" s="281">
        <f t="shared" si="6"/>
        <v>0</v>
      </c>
      <c r="Q34" s="281">
        <f t="shared" si="6"/>
        <v>0</v>
      </c>
      <c r="R34" s="281">
        <f t="shared" si="6"/>
        <v>0</v>
      </c>
      <c r="S34" s="281">
        <f t="shared" si="6"/>
        <v>0</v>
      </c>
      <c r="T34" s="281">
        <f t="shared" si="6"/>
        <v>0</v>
      </c>
      <c r="U34" s="281">
        <f t="shared" si="6"/>
        <v>0</v>
      </c>
      <c r="V34" s="281">
        <f t="shared" si="6"/>
        <v>0</v>
      </c>
      <c r="W34" s="281">
        <f t="shared" si="6"/>
        <v>0</v>
      </c>
      <c r="X34" s="281">
        <f t="shared" si="6"/>
        <v>0</v>
      </c>
      <c r="Y34" s="281">
        <f t="shared" si="6"/>
        <v>0</v>
      </c>
      <c r="Z34" s="281">
        <f t="shared" si="6"/>
        <v>0</v>
      </c>
      <c r="AA34" s="281">
        <f t="shared" si="6"/>
        <v>0</v>
      </c>
      <c r="AB34" s="281">
        <f t="shared" ref="AB34" si="7">AB10*AB31</f>
        <v>0</v>
      </c>
      <c r="AC34" s="281">
        <f t="shared" si="6"/>
        <v>0</v>
      </c>
      <c r="AD34" s="263">
        <f>SUM(D34:AC34)</f>
        <v>0</v>
      </c>
    </row>
    <row r="35" spans="2:30" ht="18.75" customHeight="1" x14ac:dyDescent="0.2">
      <c r="B35" s="282" t="s">
        <v>204</v>
      </c>
      <c r="C35" s="283"/>
      <c r="D35" s="283"/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83"/>
      <c r="U35" s="283"/>
      <c r="V35" s="283"/>
      <c r="W35" s="283"/>
      <c r="X35" s="283"/>
      <c r="Y35" s="283"/>
      <c r="Z35" s="283"/>
      <c r="AA35" s="283"/>
      <c r="AB35" s="283"/>
      <c r="AC35" s="283"/>
      <c r="AD35" s="284"/>
    </row>
    <row r="36" spans="2:30" ht="18.75" customHeight="1" x14ac:dyDescent="0.2">
      <c r="B36" s="210" t="s">
        <v>205</v>
      </c>
      <c r="C36" s="211" t="s">
        <v>60</v>
      </c>
      <c r="D36" s="257">
        <f>D23*D11</f>
        <v>0</v>
      </c>
      <c r="E36" s="257">
        <f t="shared" ref="E36:AC36" si="8">E23*E11</f>
        <v>0</v>
      </c>
      <c r="F36" s="257">
        <f t="shared" si="8"/>
        <v>0</v>
      </c>
      <c r="G36" s="257">
        <f t="shared" si="8"/>
        <v>0</v>
      </c>
      <c r="H36" s="257">
        <f t="shared" si="8"/>
        <v>0</v>
      </c>
      <c r="I36" s="257">
        <f t="shared" si="8"/>
        <v>0</v>
      </c>
      <c r="J36" s="257">
        <f t="shared" si="8"/>
        <v>0</v>
      </c>
      <c r="K36" s="257">
        <f t="shared" si="8"/>
        <v>0</v>
      </c>
      <c r="L36" s="257">
        <f t="shared" si="8"/>
        <v>0</v>
      </c>
      <c r="M36" s="257">
        <f t="shared" si="8"/>
        <v>0</v>
      </c>
      <c r="N36" s="257">
        <f t="shared" si="8"/>
        <v>0</v>
      </c>
      <c r="O36" s="257">
        <f t="shared" si="8"/>
        <v>0</v>
      </c>
      <c r="P36" s="257">
        <f t="shared" si="8"/>
        <v>0</v>
      </c>
      <c r="Q36" s="257">
        <f t="shared" si="8"/>
        <v>0</v>
      </c>
      <c r="R36" s="257">
        <f t="shared" si="8"/>
        <v>0</v>
      </c>
      <c r="S36" s="257">
        <f t="shared" si="8"/>
        <v>0</v>
      </c>
      <c r="T36" s="257">
        <f t="shared" si="8"/>
        <v>0</v>
      </c>
      <c r="U36" s="257">
        <f t="shared" si="8"/>
        <v>0</v>
      </c>
      <c r="V36" s="257">
        <f t="shared" si="8"/>
        <v>0</v>
      </c>
      <c r="W36" s="257">
        <f t="shared" si="8"/>
        <v>0</v>
      </c>
      <c r="X36" s="257">
        <f t="shared" si="8"/>
        <v>0</v>
      </c>
      <c r="Y36" s="257">
        <f t="shared" si="8"/>
        <v>0</v>
      </c>
      <c r="Z36" s="257">
        <f t="shared" si="8"/>
        <v>0</v>
      </c>
      <c r="AA36" s="257">
        <f t="shared" si="8"/>
        <v>0</v>
      </c>
      <c r="AB36" s="257">
        <f t="shared" si="8"/>
        <v>0</v>
      </c>
      <c r="AC36" s="257">
        <f t="shared" si="8"/>
        <v>0</v>
      </c>
      <c r="AD36" s="258">
        <f>SUM(D36:AC36)</f>
        <v>0</v>
      </c>
    </row>
    <row r="37" spans="2:30" ht="18.75" customHeight="1" x14ac:dyDescent="0.2">
      <c r="B37" s="210" t="s">
        <v>206</v>
      </c>
      <c r="C37" s="211" t="s">
        <v>146</v>
      </c>
      <c r="D37" s="285">
        <f>IFERROR(D24/D23,0)</f>
        <v>0</v>
      </c>
      <c r="E37" s="285">
        <f t="shared" ref="E37:AC37" si="9">IFERROR(E24/E23,0)</f>
        <v>0</v>
      </c>
      <c r="F37" s="285">
        <f t="shared" si="9"/>
        <v>0</v>
      </c>
      <c r="G37" s="285">
        <f t="shared" si="9"/>
        <v>0</v>
      </c>
      <c r="H37" s="285">
        <f t="shared" si="9"/>
        <v>0</v>
      </c>
      <c r="I37" s="285">
        <f t="shared" si="9"/>
        <v>0</v>
      </c>
      <c r="J37" s="285">
        <f t="shared" si="9"/>
        <v>0</v>
      </c>
      <c r="K37" s="285">
        <f t="shared" si="9"/>
        <v>0</v>
      </c>
      <c r="L37" s="285">
        <f t="shared" si="9"/>
        <v>0</v>
      </c>
      <c r="M37" s="285">
        <f t="shared" si="9"/>
        <v>0</v>
      </c>
      <c r="N37" s="285">
        <f t="shared" si="9"/>
        <v>0</v>
      </c>
      <c r="O37" s="285">
        <f t="shared" si="9"/>
        <v>0</v>
      </c>
      <c r="P37" s="285">
        <f t="shared" si="9"/>
        <v>0</v>
      </c>
      <c r="Q37" s="285">
        <f t="shared" si="9"/>
        <v>0</v>
      </c>
      <c r="R37" s="285">
        <f t="shared" si="9"/>
        <v>0</v>
      </c>
      <c r="S37" s="285">
        <f t="shared" si="9"/>
        <v>0</v>
      </c>
      <c r="T37" s="285">
        <f t="shared" si="9"/>
        <v>0</v>
      </c>
      <c r="U37" s="285">
        <f t="shared" si="9"/>
        <v>0</v>
      </c>
      <c r="V37" s="285">
        <f t="shared" si="9"/>
        <v>0</v>
      </c>
      <c r="W37" s="285">
        <f t="shared" si="9"/>
        <v>0</v>
      </c>
      <c r="X37" s="285">
        <f t="shared" si="9"/>
        <v>0</v>
      </c>
      <c r="Y37" s="285">
        <f t="shared" si="9"/>
        <v>0</v>
      </c>
      <c r="Z37" s="285">
        <f t="shared" si="9"/>
        <v>0</v>
      </c>
      <c r="AA37" s="285">
        <f t="shared" si="9"/>
        <v>0</v>
      </c>
      <c r="AB37" s="285">
        <f t="shared" si="9"/>
        <v>0</v>
      </c>
      <c r="AC37" s="285">
        <f t="shared" si="9"/>
        <v>0</v>
      </c>
      <c r="AD37" s="286">
        <f>IFERROR(AD24/AD23,0)</f>
        <v>0</v>
      </c>
    </row>
    <row r="38" spans="2:30" ht="18.75" customHeight="1" x14ac:dyDescent="0.2">
      <c r="B38" s="210" t="s">
        <v>70</v>
      </c>
      <c r="C38" s="211" t="s">
        <v>27</v>
      </c>
      <c r="D38" s="259">
        <f>D31</f>
        <v>0</v>
      </c>
      <c r="E38" s="259">
        <f t="shared" ref="E38:AD38" si="10">E31</f>
        <v>0</v>
      </c>
      <c r="F38" s="259">
        <f t="shared" si="10"/>
        <v>0</v>
      </c>
      <c r="G38" s="259">
        <f t="shared" si="10"/>
        <v>0</v>
      </c>
      <c r="H38" s="259">
        <f t="shared" si="10"/>
        <v>0</v>
      </c>
      <c r="I38" s="259">
        <f t="shared" si="10"/>
        <v>0</v>
      </c>
      <c r="J38" s="259">
        <f t="shared" si="10"/>
        <v>0</v>
      </c>
      <c r="K38" s="259">
        <f t="shared" si="10"/>
        <v>0</v>
      </c>
      <c r="L38" s="259">
        <f t="shared" si="10"/>
        <v>0</v>
      </c>
      <c r="M38" s="259">
        <f t="shared" si="10"/>
        <v>0</v>
      </c>
      <c r="N38" s="259">
        <f t="shared" si="10"/>
        <v>0</v>
      </c>
      <c r="O38" s="259">
        <f t="shared" si="10"/>
        <v>0</v>
      </c>
      <c r="P38" s="259">
        <f t="shared" si="10"/>
        <v>0</v>
      </c>
      <c r="Q38" s="259">
        <f t="shared" si="10"/>
        <v>0</v>
      </c>
      <c r="R38" s="259">
        <f t="shared" si="10"/>
        <v>0</v>
      </c>
      <c r="S38" s="259">
        <f t="shared" si="10"/>
        <v>0</v>
      </c>
      <c r="T38" s="259">
        <f t="shared" si="10"/>
        <v>0</v>
      </c>
      <c r="U38" s="259">
        <f t="shared" si="10"/>
        <v>0</v>
      </c>
      <c r="V38" s="259">
        <f t="shared" si="10"/>
        <v>0</v>
      </c>
      <c r="W38" s="259">
        <f t="shared" si="10"/>
        <v>0</v>
      </c>
      <c r="X38" s="259">
        <f t="shared" si="10"/>
        <v>0</v>
      </c>
      <c r="Y38" s="259">
        <f t="shared" si="10"/>
        <v>0</v>
      </c>
      <c r="Z38" s="259">
        <f t="shared" si="10"/>
        <v>0</v>
      </c>
      <c r="AA38" s="259">
        <f t="shared" si="10"/>
        <v>0</v>
      </c>
      <c r="AB38" s="259">
        <f t="shared" si="10"/>
        <v>0</v>
      </c>
      <c r="AC38" s="259">
        <f t="shared" si="10"/>
        <v>0</v>
      </c>
      <c r="AD38" s="287">
        <f t="shared" si="10"/>
        <v>0</v>
      </c>
    </row>
    <row r="39" spans="2:30" ht="18.75" customHeight="1" x14ac:dyDescent="0.2">
      <c r="B39" s="210" t="s">
        <v>207</v>
      </c>
      <c r="C39" s="211" t="s">
        <v>208</v>
      </c>
      <c r="D39" s="288">
        <f>J60</f>
        <v>10</v>
      </c>
      <c r="E39" s="288">
        <f>J60</f>
        <v>10</v>
      </c>
      <c r="F39" s="288">
        <f>J60</f>
        <v>10</v>
      </c>
      <c r="G39" s="288">
        <f>J60</f>
        <v>10</v>
      </c>
      <c r="H39" s="288">
        <f>J60</f>
        <v>10</v>
      </c>
      <c r="I39" s="288">
        <f>J60</f>
        <v>10</v>
      </c>
      <c r="J39" s="288">
        <f>J60</f>
        <v>10</v>
      </c>
      <c r="K39" s="288">
        <f>J60</f>
        <v>10</v>
      </c>
      <c r="L39" s="288">
        <f>J60</f>
        <v>10</v>
      </c>
      <c r="M39" s="288">
        <f>J60</f>
        <v>10</v>
      </c>
      <c r="N39" s="288">
        <f>J60</f>
        <v>10</v>
      </c>
      <c r="O39" s="288">
        <f>J60</f>
        <v>10</v>
      </c>
      <c r="P39" s="288">
        <f>J60</f>
        <v>10</v>
      </c>
      <c r="Q39" s="288">
        <f>J60</f>
        <v>10</v>
      </c>
      <c r="R39" s="288">
        <f>J60</f>
        <v>10</v>
      </c>
      <c r="S39" s="288">
        <f>J60</f>
        <v>10</v>
      </c>
      <c r="T39" s="288">
        <f>J60</f>
        <v>10</v>
      </c>
      <c r="U39" s="288">
        <f>J60</f>
        <v>10</v>
      </c>
      <c r="V39" s="288">
        <f>J60</f>
        <v>10</v>
      </c>
      <c r="W39" s="288">
        <f>J60</f>
        <v>10</v>
      </c>
      <c r="X39" s="288">
        <f>J60</f>
        <v>10</v>
      </c>
      <c r="Y39" s="288">
        <f>J60</f>
        <v>10</v>
      </c>
      <c r="Z39" s="288">
        <f>J60</f>
        <v>10</v>
      </c>
      <c r="AA39" s="288">
        <f>J60</f>
        <v>10</v>
      </c>
      <c r="AB39" s="288">
        <f>J60</f>
        <v>10</v>
      </c>
      <c r="AC39" s="288">
        <f>J60</f>
        <v>10</v>
      </c>
      <c r="AD39" s="289">
        <f>J60</f>
        <v>10</v>
      </c>
    </row>
    <row r="40" spans="2:30" ht="18.75" customHeight="1" thickBot="1" x14ac:dyDescent="0.25">
      <c r="B40" s="214" t="s">
        <v>210</v>
      </c>
      <c r="C40" s="215" t="s">
        <v>28</v>
      </c>
      <c r="D40" s="281">
        <f>D20</f>
        <v>-57337.279999999999</v>
      </c>
      <c r="E40" s="281">
        <f t="shared" ref="E40:AB40" si="11">E20</f>
        <v>-17484.72</v>
      </c>
      <c r="F40" s="281">
        <f t="shared" si="11"/>
        <v>-20477.600000000002</v>
      </c>
      <c r="G40" s="281">
        <f t="shared" si="11"/>
        <v>-27723.52</v>
      </c>
      <c r="H40" s="281">
        <f t="shared" si="11"/>
        <v>-21107.68</v>
      </c>
      <c r="I40" s="281">
        <f t="shared" si="11"/>
        <v>-35914.559999999998</v>
      </c>
      <c r="J40" s="281">
        <f t="shared" si="11"/>
        <v>-104908.32</v>
      </c>
      <c r="K40" s="281">
        <f t="shared" si="11"/>
        <v>-80807.759999999995</v>
      </c>
      <c r="L40" s="281">
        <f t="shared" si="11"/>
        <v>-53556.799999999996</v>
      </c>
      <c r="M40" s="281">
        <f t="shared" si="11"/>
        <v>-82540.479999999996</v>
      </c>
      <c r="N40" s="281">
        <f t="shared" si="11"/>
        <v>-38592.400000000001</v>
      </c>
      <c r="O40" s="281">
        <f t="shared" si="11"/>
        <v>-19374.96</v>
      </c>
      <c r="P40" s="281">
        <f t="shared" si="11"/>
        <v>-63795.6</v>
      </c>
      <c r="Q40" s="281">
        <f t="shared" si="11"/>
        <v>-63394.640000000007</v>
      </c>
      <c r="R40" s="281">
        <f t="shared" si="11"/>
        <v>-9451.1999999999989</v>
      </c>
      <c r="S40" s="281">
        <f t="shared" si="11"/>
        <v>-61747.839999999997</v>
      </c>
      <c r="T40" s="281">
        <f t="shared" si="11"/>
        <v>0</v>
      </c>
      <c r="U40" s="281">
        <f t="shared" si="11"/>
        <v>0</v>
      </c>
      <c r="V40" s="281">
        <f t="shared" si="11"/>
        <v>0</v>
      </c>
      <c r="W40" s="281">
        <f t="shared" si="11"/>
        <v>0</v>
      </c>
      <c r="X40" s="281">
        <f t="shared" si="11"/>
        <v>0</v>
      </c>
      <c r="Y40" s="281">
        <f t="shared" si="11"/>
        <v>0</v>
      </c>
      <c r="Z40" s="281">
        <f t="shared" si="11"/>
        <v>0</v>
      </c>
      <c r="AA40" s="281">
        <f t="shared" si="11"/>
        <v>0</v>
      </c>
      <c r="AB40" s="281">
        <f t="shared" si="11"/>
        <v>0</v>
      </c>
      <c r="AC40" s="281">
        <f>AC20</f>
        <v>0</v>
      </c>
      <c r="AD40" s="263">
        <f>SUM(D40:AC40)</f>
        <v>-758215.35999999987</v>
      </c>
    </row>
    <row r="41" spans="2:30" ht="14.1" customHeight="1" x14ac:dyDescent="0.2"/>
    <row r="42" spans="2:30" ht="14.1" customHeight="1" x14ac:dyDescent="0.2"/>
    <row r="43" spans="2:30" ht="14.1" customHeight="1" x14ac:dyDescent="0.2">
      <c r="B43" s="216" t="s">
        <v>209</v>
      </c>
      <c r="Z43" s="154"/>
    </row>
    <row r="44" spans="2:30" ht="14.1" customHeight="1" x14ac:dyDescent="0.2">
      <c r="B44" s="27" t="s">
        <v>211</v>
      </c>
      <c r="Z44" s="154"/>
    </row>
    <row r="45" spans="2:30" ht="14.1" customHeight="1" x14ac:dyDescent="0.2">
      <c r="B45" s="27" t="s">
        <v>212</v>
      </c>
      <c r="Z45" s="154"/>
    </row>
    <row r="46" spans="2:30" ht="14.1" customHeight="1" x14ac:dyDescent="0.2">
      <c r="B46" s="27" t="s">
        <v>213</v>
      </c>
    </row>
    <row r="47" spans="2:30" ht="14.1" customHeight="1" x14ac:dyDescent="0.2">
      <c r="B47" s="27" t="s">
        <v>214</v>
      </c>
      <c r="AA47" s="154"/>
      <c r="AB47" s="154"/>
    </row>
    <row r="48" spans="2:30" ht="14.1" customHeight="1" x14ac:dyDescent="0.2"/>
    <row r="49" spans="1:25" ht="14.1" customHeight="1" x14ac:dyDescent="0.2"/>
    <row r="50" spans="1:25" ht="14.1" customHeight="1" x14ac:dyDescent="0.2"/>
    <row r="51" spans="1:25" ht="14.1" customHeight="1" x14ac:dyDescent="0.2">
      <c r="N51" s="10"/>
      <c r="O51" s="10"/>
      <c r="P51" s="10"/>
    </row>
    <row r="52" spans="1:25" ht="14.1" customHeight="1" x14ac:dyDescent="0.2">
      <c r="N52" s="10"/>
      <c r="O52" s="10"/>
      <c r="P52" s="10"/>
    </row>
    <row r="53" spans="1:25" ht="17.100000000000001" customHeight="1" thickBot="1" x14ac:dyDescent="0.25">
      <c r="B53" s="55"/>
      <c r="N53" s="10"/>
      <c r="O53" s="10"/>
      <c r="P53" s="10"/>
    </row>
    <row r="54" spans="1:25" ht="17.100000000000001" customHeight="1" x14ac:dyDescent="0.2">
      <c r="B54" s="217" t="s">
        <v>43</v>
      </c>
      <c r="C54" s="218"/>
      <c r="D54" s="218"/>
      <c r="E54" s="219" t="s">
        <v>217</v>
      </c>
      <c r="F54" s="219" t="s">
        <v>201</v>
      </c>
      <c r="G54" s="220" t="s">
        <v>24</v>
      </c>
      <c r="N54" s="221"/>
      <c r="O54" s="221"/>
      <c r="P54" s="10"/>
      <c r="Y54" s="222"/>
    </row>
    <row r="55" spans="1:25" ht="17.100000000000001" customHeight="1" x14ac:dyDescent="0.25">
      <c r="A55"/>
      <c r="B55" s="223" t="s">
        <v>78</v>
      </c>
      <c r="C55" s="224"/>
      <c r="D55" s="290" t="s">
        <v>61</v>
      </c>
      <c r="E55" s="92">
        <f>AD24*AD12+AD25*AD14-AD29</f>
        <v>0</v>
      </c>
      <c r="F55" s="92">
        <f>AD33-AD34</f>
        <v>0</v>
      </c>
      <c r="G55" s="56">
        <f>AD31*AD10-(AD26*AD12-AD25*AD14)-AD16*AD28</f>
        <v>0</v>
      </c>
      <c r="N55" s="221"/>
      <c r="O55" s="221"/>
      <c r="P55" s="10"/>
      <c r="Y55" s="222"/>
    </row>
    <row r="56" spans="1:25" ht="14.1" customHeight="1" x14ac:dyDescent="0.25">
      <c r="A56"/>
      <c r="B56" s="226" t="s">
        <v>44</v>
      </c>
      <c r="C56" s="227"/>
      <c r="D56" s="290" t="s">
        <v>28</v>
      </c>
      <c r="E56" s="92">
        <f>D78</f>
        <v>0</v>
      </c>
      <c r="F56" s="92" t="e">
        <f>F55/E55*E56</f>
        <v>#DIV/0!</v>
      </c>
      <c r="G56" s="56" t="e">
        <f>G55/E55*E56</f>
        <v>#DIV/0!</v>
      </c>
      <c r="N56" s="221"/>
      <c r="O56" s="221"/>
      <c r="P56" s="10"/>
      <c r="Y56" s="222"/>
    </row>
    <row r="57" spans="1:25" ht="17.100000000000001" customHeight="1" x14ac:dyDescent="0.25">
      <c r="A57"/>
      <c r="B57" s="226" t="s">
        <v>45</v>
      </c>
      <c r="C57" s="227"/>
      <c r="D57" s="290" t="s">
        <v>28</v>
      </c>
      <c r="E57" s="92">
        <f>M91</f>
        <v>0</v>
      </c>
      <c r="F57" s="92" t="e">
        <f>F55/E55*E57</f>
        <v>#DIV/0!</v>
      </c>
      <c r="G57" s="56" t="e">
        <f>G55/E55*E57</f>
        <v>#DIV/0!</v>
      </c>
      <c r="N57" s="221"/>
      <c r="O57" s="221"/>
      <c r="P57" s="10"/>
      <c r="Y57" s="222"/>
    </row>
    <row r="58" spans="1:25" ht="17.100000000000001" customHeight="1" thickBot="1" x14ac:dyDescent="0.3">
      <c r="A58"/>
      <c r="B58" s="228" t="s">
        <v>80</v>
      </c>
      <c r="C58" s="229"/>
      <c r="D58" s="291" t="s">
        <v>28</v>
      </c>
      <c r="E58" s="93">
        <f>AD17-AD18</f>
        <v>-758215.35999999987</v>
      </c>
      <c r="F58" s="93">
        <f>AD20</f>
        <v>-758215.35999999987</v>
      </c>
      <c r="G58" s="94">
        <f>AD21</f>
        <v>0</v>
      </c>
      <c r="N58" s="221"/>
      <c r="O58" s="221"/>
      <c r="P58" s="10"/>
      <c r="Y58" s="222"/>
    </row>
    <row r="59" spans="1:25" ht="30.75" thickBot="1" x14ac:dyDescent="0.3">
      <c r="A59"/>
      <c r="B59"/>
      <c r="C59"/>
      <c r="D59"/>
      <c r="E59"/>
      <c r="J59" s="231" t="s">
        <v>41</v>
      </c>
      <c r="K59" s="24" t="s">
        <v>42</v>
      </c>
      <c r="L59" s="25"/>
      <c r="M59" s="26"/>
      <c r="N59" s="221"/>
      <c r="O59" s="221"/>
      <c r="P59" s="10"/>
      <c r="Y59" s="222"/>
    </row>
    <row r="60" spans="1:25" ht="17.100000000000001" customHeight="1" thickBot="1" x14ac:dyDescent="0.3">
      <c r="A60"/>
      <c r="B60" s="55" t="s">
        <v>34</v>
      </c>
      <c r="E60"/>
      <c r="J60" s="54">
        <f>'IS01'!J60</f>
        <v>10</v>
      </c>
      <c r="K60" s="21" t="s">
        <v>36</v>
      </c>
      <c r="L60" s="22" t="s">
        <v>37</v>
      </c>
      <c r="M60" s="23" t="s">
        <v>38</v>
      </c>
      <c r="N60" s="10"/>
      <c r="O60" s="10"/>
      <c r="P60" s="10"/>
      <c r="Y60" s="216"/>
    </row>
    <row r="61" spans="1:25" ht="15.75" customHeight="1" x14ac:dyDescent="0.25">
      <c r="A61"/>
      <c r="B61" s="13" t="s">
        <v>35</v>
      </c>
      <c r="C61" s="14"/>
      <c r="D61" s="15"/>
      <c r="E61"/>
      <c r="K61" s="232">
        <f>IF(J60&gt;0, 1, "")</f>
        <v>1</v>
      </c>
      <c r="L61" s="233">
        <f>IF(J60&gt;=K61,E55, "")</f>
        <v>0</v>
      </c>
      <c r="M61" s="57">
        <f>IF(J60&gt;=K61,L61/((1+M93)^K61), "0")</f>
        <v>0</v>
      </c>
      <c r="N61" s="10"/>
      <c r="O61" s="10"/>
      <c r="P61" s="10"/>
      <c r="Y61" s="216"/>
    </row>
    <row r="62" spans="1:25" ht="15.75" customHeight="1" x14ac:dyDescent="0.25">
      <c r="A62"/>
      <c r="B62" s="2" t="s">
        <v>36</v>
      </c>
      <c r="C62" s="3" t="s">
        <v>37</v>
      </c>
      <c r="D62" s="4" t="s">
        <v>38</v>
      </c>
      <c r="E62"/>
      <c r="K62" s="234">
        <f>IF(J60&gt;K61, 2, "")</f>
        <v>2</v>
      </c>
      <c r="L62" s="235">
        <f>IF(J60&gt;=K62,E55, "")</f>
        <v>0</v>
      </c>
      <c r="M62" s="58">
        <f>IF(J60&gt;=K62,L62/((1+M93)^K62), "0")</f>
        <v>0</v>
      </c>
      <c r="N62" s="10"/>
      <c r="O62" s="10"/>
      <c r="P62" s="10"/>
      <c r="Y62" s="216"/>
    </row>
    <row r="63" spans="1:25" ht="15.75" customHeight="1" x14ac:dyDescent="0.25">
      <c r="A63"/>
      <c r="B63" s="31">
        <v>1</v>
      </c>
      <c r="C63" s="47">
        <f>E55</f>
        <v>0</v>
      </c>
      <c r="D63" s="48">
        <f>C63/((1+D80)^B63)</f>
        <v>0</v>
      </c>
      <c r="E63"/>
      <c r="K63" s="234">
        <f>IF(J60&gt;K62,3, "")</f>
        <v>3</v>
      </c>
      <c r="L63" s="235">
        <f>IF(J60&gt;=K63,E55, "")</f>
        <v>0</v>
      </c>
      <c r="M63" s="58">
        <f>IF(J60&gt;=K63,L63/((1+M93)^K63), "0")</f>
        <v>0</v>
      </c>
      <c r="N63" s="236"/>
      <c r="O63" s="236"/>
      <c r="P63" s="10"/>
      <c r="Y63" s="237"/>
    </row>
    <row r="64" spans="1:25" ht="15.75" customHeight="1" x14ac:dyDescent="0.2">
      <c r="B64" s="31">
        <v>2</v>
      </c>
      <c r="C64" s="47">
        <f>E55</f>
        <v>0</v>
      </c>
      <c r="D64" s="48">
        <f>C64/((1+D80)^B64)</f>
        <v>0</v>
      </c>
      <c r="E64" s="292"/>
      <c r="K64" s="234">
        <f>IF(J60&gt;K63, 4, "")</f>
        <v>4</v>
      </c>
      <c r="L64" s="235">
        <f>IF(J60&gt;=K64,E55, "")</f>
        <v>0</v>
      </c>
      <c r="M64" s="58">
        <f>IF(J60&gt;=K64,L64/((1+M93)^K64), "0")</f>
        <v>0</v>
      </c>
      <c r="N64" s="10"/>
      <c r="O64" s="10"/>
      <c r="P64" s="10"/>
    </row>
    <row r="65" spans="2:19" ht="15.75" customHeight="1" x14ac:dyDescent="0.2">
      <c r="B65" s="31">
        <v>3</v>
      </c>
      <c r="C65" s="47">
        <f>E55</f>
        <v>0</v>
      </c>
      <c r="D65" s="48">
        <f>C65/((1+D80)^B65)</f>
        <v>0</v>
      </c>
      <c r="K65" s="234">
        <f>IF(J60&gt;K64, 5, "")</f>
        <v>5</v>
      </c>
      <c r="L65" s="235">
        <f>IF(J60&gt;=K65,E55, "")</f>
        <v>0</v>
      </c>
      <c r="M65" s="58">
        <f>IF(J60&gt;=K65,L65/((1+M93)^K65), "0")</f>
        <v>0</v>
      </c>
      <c r="N65" s="351"/>
      <c r="O65" s="351"/>
      <c r="P65" s="351"/>
    </row>
    <row r="66" spans="2:19" ht="15.75" customHeight="1" x14ac:dyDescent="0.2">
      <c r="B66" s="31">
        <v>4</v>
      </c>
      <c r="C66" s="47">
        <f>E55</f>
        <v>0</v>
      </c>
      <c r="D66" s="48">
        <f>C66/((1+D80)^B66)</f>
        <v>0</v>
      </c>
      <c r="F66" s="293"/>
      <c r="G66" s="59"/>
      <c r="K66" s="234">
        <f>IF(J60&gt;K65, 6, "")</f>
        <v>6</v>
      </c>
      <c r="L66" s="235">
        <f>IF(J60&gt;=K66,E55, "")</f>
        <v>0</v>
      </c>
      <c r="M66" s="58">
        <f>IF(J60&gt;=K66,L66/((1+M93)^K66), "0")</f>
        <v>0</v>
      </c>
      <c r="N66" s="10"/>
      <c r="O66" s="10"/>
      <c r="P66" s="10"/>
    </row>
    <row r="67" spans="2:19" ht="15.75" customHeight="1" x14ac:dyDescent="0.2">
      <c r="B67" s="31">
        <v>5</v>
      </c>
      <c r="C67" s="47">
        <f>E55</f>
        <v>0</v>
      </c>
      <c r="D67" s="48">
        <f>C67/((1+D80)^B67)</f>
        <v>0</v>
      </c>
      <c r="I67" s="10"/>
      <c r="K67" s="234">
        <f>IF(J60&gt;K66, 7, "")</f>
        <v>7</v>
      </c>
      <c r="L67" s="235">
        <f>IF(J60&gt;=K67,E55, "")</f>
        <v>0</v>
      </c>
      <c r="M67" s="58">
        <f>IF(J60&gt;=K67,L67/((1+M93)^K67), "0")</f>
        <v>0</v>
      </c>
      <c r="N67" s="10"/>
      <c r="O67" s="10"/>
      <c r="P67" s="10"/>
    </row>
    <row r="68" spans="2:19" ht="15.75" customHeight="1" x14ac:dyDescent="0.2">
      <c r="B68" s="31">
        <v>6</v>
      </c>
      <c r="C68" s="47">
        <f>E55</f>
        <v>0</v>
      </c>
      <c r="D68" s="48">
        <f>C68/((1+D80)^B68)</f>
        <v>0</v>
      </c>
      <c r="I68" s="10"/>
      <c r="K68" s="234">
        <f>IF(J60&gt;K67, 8, "")</f>
        <v>8</v>
      </c>
      <c r="L68" s="235">
        <f>IF(J60&gt;=K68,E55, "")</f>
        <v>0</v>
      </c>
      <c r="M68" s="58">
        <f>IF(J60&gt;=K68,L68/((1+M93)^K68), "0")</f>
        <v>0</v>
      </c>
      <c r="N68" s="10"/>
      <c r="O68" s="10"/>
      <c r="P68" s="10"/>
      <c r="Q68" s="10"/>
      <c r="R68" s="10"/>
      <c r="S68" s="10"/>
    </row>
    <row r="69" spans="2:19" ht="15.75" customHeight="1" x14ac:dyDescent="0.2">
      <c r="B69" s="31">
        <v>7</v>
      </c>
      <c r="C69" s="47">
        <f>E55</f>
        <v>0</v>
      </c>
      <c r="D69" s="48">
        <f>C69/((1+D80)^B69)</f>
        <v>0</v>
      </c>
      <c r="K69" s="234">
        <f>IF(J60&gt;K68, 9, "")</f>
        <v>9</v>
      </c>
      <c r="L69" s="235">
        <f>IF(J60&gt;=K69,E55, "")</f>
        <v>0</v>
      </c>
      <c r="M69" s="58">
        <f>IF(J60&gt;=K69,L69/((1+M93)^K69), "0")</f>
        <v>0</v>
      </c>
      <c r="N69" s="10"/>
      <c r="O69" s="10"/>
      <c r="P69" s="10"/>
      <c r="Q69" s="10"/>
      <c r="R69" s="10"/>
      <c r="S69" s="10"/>
    </row>
    <row r="70" spans="2:19" ht="15.75" customHeight="1" x14ac:dyDescent="0.2">
      <c r="B70" s="31">
        <v>8</v>
      </c>
      <c r="C70" s="47">
        <f>E55</f>
        <v>0</v>
      </c>
      <c r="D70" s="48">
        <f>C70/((1+D80)^B70)</f>
        <v>0</v>
      </c>
      <c r="K70" s="234">
        <f>IF(J60&gt;K69, 10, "")</f>
        <v>10</v>
      </c>
      <c r="L70" s="235">
        <f>IF(J60&gt;=K70,E55, "")</f>
        <v>0</v>
      </c>
      <c r="M70" s="58">
        <f>IF(J60&gt;=K70,L70/((1+M93)^K70), "0")</f>
        <v>0</v>
      </c>
      <c r="N70" s="10"/>
      <c r="O70" s="10"/>
      <c r="P70" s="10"/>
    </row>
    <row r="71" spans="2:19" ht="15.75" customHeight="1" x14ac:dyDescent="0.2">
      <c r="B71" s="31">
        <v>9</v>
      </c>
      <c r="C71" s="47">
        <f>E55</f>
        <v>0</v>
      </c>
      <c r="D71" s="48">
        <f>C71/((1+D80)^B71)</f>
        <v>0</v>
      </c>
      <c r="K71" s="234" t="str">
        <f>IF(J60&gt;K70, 11, "")</f>
        <v/>
      </c>
      <c r="L71" s="235" t="str">
        <f>IF(J60&gt;=K71,E55, "")</f>
        <v/>
      </c>
      <c r="M71" s="58" t="str">
        <f>IF(J60&gt;=K71,L71/((1+M93)^K71), "0")</f>
        <v>0</v>
      </c>
      <c r="N71" s="10"/>
      <c r="O71" s="10"/>
      <c r="P71" s="10"/>
    </row>
    <row r="72" spans="2:19" ht="15.75" customHeight="1" x14ac:dyDescent="0.2">
      <c r="B72" s="31">
        <v>10</v>
      </c>
      <c r="C72" s="47">
        <f>E55</f>
        <v>0</v>
      </c>
      <c r="D72" s="48">
        <f>C72/((1+D80)^B72)</f>
        <v>0</v>
      </c>
      <c r="K72" s="234" t="str">
        <f>IF(J60&gt;K71, 12, "")</f>
        <v/>
      </c>
      <c r="L72" s="235" t="str">
        <f>IF(J60&gt;=K72,E55, "")</f>
        <v/>
      </c>
      <c r="M72" s="58" t="str">
        <f>IF(J60&gt;=K72,L72/((1+M93)^K72), "0")</f>
        <v>0</v>
      </c>
      <c r="N72" s="10"/>
      <c r="O72" s="10"/>
      <c r="P72" s="10"/>
    </row>
    <row r="73" spans="2:19" ht="15.75" customHeight="1" x14ac:dyDescent="0.2">
      <c r="B73" s="31">
        <v>11</v>
      </c>
      <c r="C73" s="47">
        <f>E55</f>
        <v>0</v>
      </c>
      <c r="D73" s="48">
        <f>C73/((1+D80)^B73)</f>
        <v>0</v>
      </c>
      <c r="K73" s="234" t="str">
        <f>IF(J60&gt;K72, 13, "")</f>
        <v/>
      </c>
      <c r="L73" s="235" t="str">
        <f>IF(J60&gt;=K73,E55, "")</f>
        <v/>
      </c>
      <c r="M73" s="58" t="str">
        <f>IF(J60&gt;=K73,L73/((1+M93)^K73), "0")</f>
        <v>0</v>
      </c>
      <c r="N73" s="10"/>
      <c r="O73" s="10"/>
      <c r="P73" s="10"/>
    </row>
    <row r="74" spans="2:19" ht="15.75" customHeight="1" x14ac:dyDescent="0.2">
      <c r="B74" s="31">
        <v>12</v>
      </c>
      <c r="C74" s="47">
        <f>E55</f>
        <v>0</v>
      </c>
      <c r="D74" s="48">
        <f>C74/((1+D80)^B74)</f>
        <v>0</v>
      </c>
      <c r="K74" s="234" t="str">
        <f>IF(J60&gt;K73, 14, "")</f>
        <v/>
      </c>
      <c r="L74" s="235" t="str">
        <f>IF(J60&gt;=K74,E55, "")</f>
        <v/>
      </c>
      <c r="M74" s="58" t="str">
        <f>IF(J60&gt;=K74,L74/((1+M93)^K74), "0")</f>
        <v>0</v>
      </c>
      <c r="N74" s="10"/>
      <c r="O74" s="10"/>
      <c r="P74" s="10"/>
    </row>
    <row r="75" spans="2:19" ht="15.75" customHeight="1" x14ac:dyDescent="0.2">
      <c r="B75" s="31">
        <v>13</v>
      </c>
      <c r="C75" s="47">
        <f>E55</f>
        <v>0</v>
      </c>
      <c r="D75" s="48">
        <f>C75/((1+D80)^B75)</f>
        <v>0</v>
      </c>
      <c r="K75" s="234" t="str">
        <f>IF(J60&gt;K74, 15, "")</f>
        <v/>
      </c>
      <c r="L75" s="235" t="str">
        <f>IF(J60&gt;=K75,E55, "")</f>
        <v/>
      </c>
      <c r="M75" s="58" t="str">
        <f>IF(J60&gt;=K75,L75/((1+M93)^K75), "0")</f>
        <v>0</v>
      </c>
      <c r="N75" s="10"/>
      <c r="O75" s="10"/>
      <c r="P75" s="10"/>
    </row>
    <row r="76" spans="2:19" ht="15.75" customHeight="1" x14ac:dyDescent="0.25">
      <c r="B76" s="31">
        <v>14</v>
      </c>
      <c r="C76" s="47">
        <f>E55</f>
        <v>0</v>
      </c>
      <c r="D76" s="48">
        <f>C76/((1+D80)^B76)</f>
        <v>0</v>
      </c>
      <c r="E76"/>
      <c r="F76"/>
      <c r="G76"/>
      <c r="K76" s="234" t="str">
        <f>IF(J60&gt;K75, 16, "")</f>
        <v/>
      </c>
      <c r="L76" s="235" t="str">
        <f>IF(J60&gt;=K76,E55, "")</f>
        <v/>
      </c>
      <c r="M76" s="58" t="str">
        <f>IF(J60&gt;=K76,L76/((1+M93)^K76), "0")</f>
        <v>0</v>
      </c>
      <c r="N76" s="10"/>
      <c r="O76" s="10"/>
      <c r="P76" s="10"/>
    </row>
    <row r="77" spans="2:19" ht="15.75" customHeight="1" x14ac:dyDescent="0.25">
      <c r="B77" s="31">
        <v>15</v>
      </c>
      <c r="C77" s="47">
        <f>E55</f>
        <v>0</v>
      </c>
      <c r="D77" s="48">
        <f>C77/((1+D80)^B77)</f>
        <v>0</v>
      </c>
      <c r="E77"/>
      <c r="F77"/>
      <c r="G77"/>
      <c r="K77" s="234" t="str">
        <f>IF(J60&gt;K76, 17, "")</f>
        <v/>
      </c>
      <c r="L77" s="235" t="str">
        <f>IF(J60&gt;=K77,E55, "")</f>
        <v/>
      </c>
      <c r="M77" s="58" t="str">
        <f>IF(J60&gt;=K77,L77/((1+M93)^K77), "0")</f>
        <v>0</v>
      </c>
      <c r="N77" s="10"/>
      <c r="O77" s="10"/>
      <c r="P77" s="10"/>
    </row>
    <row r="78" spans="2:19" ht="15.75" customHeight="1" thickBot="1" x14ac:dyDescent="0.3">
      <c r="B78" s="12" t="s">
        <v>39</v>
      </c>
      <c r="C78" s="51">
        <f>SUM(C63:C77)</f>
        <v>0</v>
      </c>
      <c r="D78" s="52">
        <f>SUM(D63:D77)</f>
        <v>0</v>
      </c>
      <c r="E78"/>
      <c r="F78" s="238"/>
      <c r="G78" s="238"/>
      <c r="K78" s="234" t="str">
        <f>IF(J60&gt;K77, 18, "")</f>
        <v/>
      </c>
      <c r="L78" s="235" t="str">
        <f>IF(J60&gt;=K78,E55, "")</f>
        <v/>
      </c>
      <c r="M78" s="58" t="str">
        <f>IF(J60&gt;=K78,L78/((1+M93)^K78), "0")</f>
        <v>0</v>
      </c>
      <c r="N78" s="10"/>
      <c r="O78" s="10"/>
      <c r="P78" s="10"/>
    </row>
    <row r="79" spans="2:19" ht="15.75" customHeight="1" x14ac:dyDescent="0.25">
      <c r="B79" s="239"/>
      <c r="C79" s="240"/>
      <c r="D79" s="241"/>
      <c r="E79"/>
      <c r="F79"/>
      <c r="G79"/>
      <c r="K79" s="234" t="str">
        <f>IF(J60&gt;K78, 19, "")</f>
        <v/>
      </c>
      <c r="L79" s="235" t="str">
        <f>IF(J60&gt;=K79,E55, "")</f>
        <v/>
      </c>
      <c r="M79" s="58" t="str">
        <f>IF(J60&gt;=K79,L79/((1+M93)^K79), "0")</f>
        <v>0</v>
      </c>
      <c r="N79" s="10"/>
      <c r="O79" s="10"/>
      <c r="P79" s="10"/>
    </row>
    <row r="80" spans="2:19" ht="15.75" customHeight="1" thickBot="1" x14ac:dyDescent="0.3">
      <c r="B80" s="242" t="s">
        <v>40</v>
      </c>
      <c r="C80" s="243"/>
      <c r="D80" s="60">
        <v>0.04</v>
      </c>
      <c r="E80"/>
      <c r="F80"/>
      <c r="G80"/>
      <c r="K80" s="234" t="str">
        <f>IF(J60&gt;K79, 20, "")</f>
        <v/>
      </c>
      <c r="L80" s="235" t="str">
        <f>IF(J60&gt;=K80,E55, "")</f>
        <v/>
      </c>
      <c r="M80" s="58" t="str">
        <f>IF(J60&gt;=K80,L80/((1+M93)^K80), "0")</f>
        <v>0</v>
      </c>
      <c r="N80" s="10"/>
      <c r="O80" s="10"/>
      <c r="P80" s="10"/>
      <c r="Q80" s="10"/>
      <c r="R80" s="10"/>
      <c r="S80" s="10"/>
    </row>
    <row r="81" spans="1:19" ht="15.75" customHeight="1" x14ac:dyDescent="0.25">
      <c r="B81"/>
      <c r="C81"/>
      <c r="D81"/>
      <c r="E81"/>
      <c r="F81"/>
      <c r="G81"/>
      <c r="K81" s="234" t="str">
        <f>IF(J60&gt;K80, 21, "")</f>
        <v/>
      </c>
      <c r="L81" s="235" t="str">
        <f>IF(J60&gt;=K81,E55, "")</f>
        <v/>
      </c>
      <c r="M81" s="58" t="str">
        <f>IF(J60&gt;=K81,L81/((1+M93)^K81), "0")</f>
        <v>0</v>
      </c>
      <c r="N81" s="10"/>
      <c r="O81" s="10"/>
      <c r="P81" s="10"/>
      <c r="Q81" s="10"/>
      <c r="R81" s="10"/>
      <c r="S81" s="10"/>
    </row>
    <row r="82" spans="1:19" ht="15.75" customHeight="1" x14ac:dyDescent="0.25">
      <c r="B82"/>
      <c r="C82"/>
      <c r="D82"/>
      <c r="E82"/>
      <c r="F82"/>
      <c r="G82"/>
      <c r="K82" s="234" t="str">
        <f>IF(J60&gt;K81, 22, "")</f>
        <v/>
      </c>
      <c r="L82" s="235" t="str">
        <f>IF(J60&gt;=K82,E55, "")</f>
        <v/>
      </c>
      <c r="M82" s="58" t="str">
        <f>IF(J60&gt;=K82,L82/((1+M93)^K82), "0")</f>
        <v>0</v>
      </c>
      <c r="N82" s="10"/>
      <c r="O82" s="10"/>
      <c r="P82" s="10"/>
    </row>
    <row r="83" spans="1:19" ht="15.75" customHeight="1" x14ac:dyDescent="0.25">
      <c r="B83"/>
      <c r="C83"/>
      <c r="D83"/>
      <c r="E83"/>
      <c r="F83"/>
      <c r="G83"/>
      <c r="K83" s="234" t="str">
        <f>IF(J60&gt;K82, 23, "")</f>
        <v/>
      </c>
      <c r="L83" s="235" t="str">
        <f>IF(J60&gt;=K83,E55, "")</f>
        <v/>
      </c>
      <c r="M83" s="58" t="str">
        <f>IF(J60&gt;=K83,L83/((1+M93)^K83), "0")</f>
        <v>0</v>
      </c>
      <c r="N83" s="351"/>
      <c r="O83" s="351"/>
      <c r="P83" s="10"/>
    </row>
    <row r="84" spans="1:19" ht="15.75" customHeight="1" x14ac:dyDescent="0.25">
      <c r="B84"/>
      <c r="C84"/>
      <c r="D84"/>
      <c r="E84"/>
      <c r="F84"/>
      <c r="G84"/>
      <c r="K84" s="234" t="str">
        <f>IF(J60&gt;K83, 24, "")</f>
        <v/>
      </c>
      <c r="L84" s="235" t="str">
        <f>IF(J60&gt;=K84,E55, "")</f>
        <v/>
      </c>
      <c r="M84" s="58" t="str">
        <f>IF(J60&gt;=K84,L84/((1+M93)^K84), "0")</f>
        <v>0</v>
      </c>
      <c r="N84" s="351"/>
      <c r="O84" s="351"/>
      <c r="P84" s="351"/>
    </row>
    <row r="85" spans="1:19" ht="15.75" customHeight="1" x14ac:dyDescent="0.25">
      <c r="B85"/>
      <c r="C85"/>
      <c r="D85"/>
      <c r="E85"/>
      <c r="F85"/>
      <c r="G85"/>
      <c r="K85" s="234" t="str">
        <f>IF(J60&gt;K84, 25, "")</f>
        <v/>
      </c>
      <c r="L85" s="235" t="str">
        <f>IF(J60&gt;=K85,E55, "")</f>
        <v/>
      </c>
      <c r="M85" s="58" t="str">
        <f>IF(J60&gt;=K85,L85/((1+M93)^K85), "0")</f>
        <v>0</v>
      </c>
      <c r="N85" s="10"/>
      <c r="O85" s="10"/>
      <c r="P85" s="10"/>
    </row>
    <row r="86" spans="1:19" ht="15.75" customHeight="1" x14ac:dyDescent="0.25">
      <c r="B86"/>
      <c r="C86"/>
      <c r="D86"/>
      <c r="E86"/>
      <c r="F86"/>
      <c r="G86"/>
      <c r="K86" s="234" t="str">
        <f>IF(J60&gt;K85, 26, "")</f>
        <v/>
      </c>
      <c r="L86" s="235" t="str">
        <f>IF(J60&gt;=K86,E55, "")</f>
        <v/>
      </c>
      <c r="M86" s="58" t="str">
        <f>IF(J60&gt;=K86,L86/((1+M93)^K86), "0")</f>
        <v>0</v>
      </c>
      <c r="N86" s="10"/>
      <c r="O86" s="10"/>
      <c r="P86" s="10"/>
    </row>
    <row r="87" spans="1:19" ht="15.75" customHeight="1" x14ac:dyDescent="0.25">
      <c r="A87"/>
      <c r="B87"/>
      <c r="C87"/>
      <c r="D87"/>
      <c r="E87"/>
      <c r="F87"/>
      <c r="G87"/>
      <c r="K87" s="234" t="str">
        <f>IF(J60&gt;K86, 27, "")</f>
        <v/>
      </c>
      <c r="L87" s="235" t="str">
        <f>IF(J60&gt;=K87,E55, "")</f>
        <v/>
      </c>
      <c r="M87" s="58" t="str">
        <f>IF(J60&gt;=K87,L87/((1+M93)^K87), "0")</f>
        <v>0</v>
      </c>
    </row>
    <row r="88" spans="1:19" ht="15.75" customHeight="1" x14ac:dyDescent="0.25">
      <c r="A88"/>
      <c r="B88"/>
      <c r="C88"/>
      <c r="D88"/>
      <c r="E88"/>
      <c r="F88"/>
      <c r="K88" s="234" t="str">
        <f>IF(J60&gt;K87, 28, "")</f>
        <v/>
      </c>
      <c r="L88" s="235" t="str">
        <f>IF(J60&gt;=K88,E55, "")</f>
        <v/>
      </c>
      <c r="M88" s="58" t="str">
        <f>IF(J60&gt;=K88,L88/((1+M93)^K88), "0")</f>
        <v>0</v>
      </c>
    </row>
    <row r="89" spans="1:19" ht="15.75" customHeight="1" x14ac:dyDescent="0.25">
      <c r="A89"/>
      <c r="B89"/>
      <c r="C89"/>
      <c r="D89"/>
      <c r="E89"/>
      <c r="F89"/>
      <c r="K89" s="234" t="str">
        <f>IF(J60&gt;K88, 29, "")</f>
        <v/>
      </c>
      <c r="L89" s="235" t="str">
        <f>IF(J60&gt;=K89,E55, "")</f>
        <v/>
      </c>
      <c r="M89" s="58" t="str">
        <f>IF(J60&gt;=K89,L89/((1+M93)^K89), "0")</f>
        <v>0</v>
      </c>
    </row>
    <row r="90" spans="1:19" ht="15.75" customHeight="1" x14ac:dyDescent="0.25">
      <c r="A90"/>
      <c r="B90"/>
      <c r="C90"/>
      <c r="D90"/>
      <c r="E90"/>
      <c r="F90"/>
      <c r="K90" s="234" t="str">
        <f>IF(J60&gt;K89, 30, "")</f>
        <v/>
      </c>
      <c r="L90" s="235" t="str">
        <f>IF(J60&gt;=K90,E55, "")</f>
        <v/>
      </c>
      <c r="M90" s="58" t="str">
        <f>IF(J60&gt;=K90,L90/((1+M93)^K90), "0")</f>
        <v>0</v>
      </c>
    </row>
    <row r="91" spans="1:19" ht="15.75" customHeight="1" x14ac:dyDescent="0.25">
      <c r="A91"/>
      <c r="B91"/>
      <c r="C91"/>
      <c r="D91"/>
      <c r="E91"/>
      <c r="F91"/>
      <c r="K91" s="2" t="s">
        <v>39</v>
      </c>
      <c r="L91" s="49">
        <f>SUM(L61:L90)</f>
        <v>0</v>
      </c>
      <c r="M91" s="50">
        <f>SUM(M61:M80)</f>
        <v>0</v>
      </c>
    </row>
    <row r="92" spans="1:19" ht="15.75" customHeight="1" x14ac:dyDescent="0.25">
      <c r="A92"/>
      <c r="B92"/>
      <c r="C92"/>
      <c r="D92"/>
      <c r="E92"/>
      <c r="F92"/>
      <c r="K92" s="245"/>
      <c r="L92" s="246"/>
      <c r="M92" s="28"/>
    </row>
    <row r="93" spans="1:19" ht="15.75" customHeight="1" thickBot="1" x14ac:dyDescent="0.3">
      <c r="A93"/>
      <c r="B93"/>
      <c r="C93"/>
      <c r="D93"/>
      <c r="E93"/>
      <c r="F93"/>
      <c r="K93" s="242" t="s">
        <v>40</v>
      </c>
      <c r="L93" s="243"/>
      <c r="M93" s="60">
        <v>0.04</v>
      </c>
    </row>
    <row r="94" spans="1:19" ht="15" x14ac:dyDescent="0.25">
      <c r="A94"/>
      <c r="B94"/>
      <c r="C94"/>
      <c r="D94"/>
      <c r="E94"/>
      <c r="F94"/>
    </row>
    <row r="95" spans="1:19" ht="14.1" customHeight="1" x14ac:dyDescent="0.2"/>
    <row r="96" spans="1:19" ht="14.1" customHeight="1" x14ac:dyDescent="0.2"/>
    <row r="97" s="27" customFormat="1" ht="14.1" customHeight="1" x14ac:dyDescent="0.2"/>
    <row r="98" s="27" customFormat="1" ht="14.1" customHeight="1" x14ac:dyDescent="0.2"/>
    <row r="99" s="27" customFormat="1" ht="14.1" customHeight="1" x14ac:dyDescent="0.2"/>
    <row r="100" s="27" customFormat="1" ht="14.1" customHeight="1" x14ac:dyDescent="0.2"/>
    <row r="101" s="27" customFormat="1" ht="14.1" customHeight="1" x14ac:dyDescent="0.2"/>
    <row r="102" s="27" customFormat="1" ht="14.1" customHeight="1" x14ac:dyDescent="0.2"/>
    <row r="103" s="27" customFormat="1" ht="14.1" customHeight="1" x14ac:dyDescent="0.2"/>
    <row r="104" s="27" customFormat="1" ht="14.1" customHeight="1" x14ac:dyDescent="0.2"/>
    <row r="105" s="27" customFormat="1" ht="14.1" customHeight="1" x14ac:dyDescent="0.2"/>
    <row r="106" s="27" customFormat="1" ht="14.1" customHeight="1" x14ac:dyDescent="0.2"/>
    <row r="107" s="27" customFormat="1" ht="14.1" customHeight="1" x14ac:dyDescent="0.2"/>
    <row r="108" s="27" customFormat="1" ht="14.1" customHeight="1" x14ac:dyDescent="0.2"/>
    <row r="109" s="27" customFormat="1" ht="14.1" customHeight="1" x14ac:dyDescent="0.2"/>
    <row r="110" s="27" customFormat="1" ht="14.1" customHeight="1" x14ac:dyDescent="0.2"/>
    <row r="111" s="27" customFormat="1" ht="14.1" customHeight="1" x14ac:dyDescent="0.2"/>
    <row r="112" s="27" customFormat="1" ht="14.1" customHeight="1" x14ac:dyDescent="0.2"/>
    <row r="113" s="27" customFormat="1" ht="14.1" customHeight="1" x14ac:dyDescent="0.2"/>
    <row r="114" s="27" customFormat="1" ht="14.1" customHeight="1" x14ac:dyDescent="0.2"/>
    <row r="115" s="27" customFormat="1" ht="14.1" customHeight="1" x14ac:dyDescent="0.2"/>
    <row r="116" s="27" customFormat="1" ht="14.1" customHeight="1" x14ac:dyDescent="0.2"/>
    <row r="117" s="27" customFormat="1" ht="14.1" customHeight="1" x14ac:dyDescent="0.2"/>
    <row r="118" s="27" customFormat="1" ht="14.1" customHeight="1" x14ac:dyDescent="0.2"/>
    <row r="119" s="27" customFormat="1" ht="14.1" customHeight="1" x14ac:dyDescent="0.2"/>
    <row r="120" s="27" customFormat="1" ht="14.1" customHeight="1" x14ac:dyDescent="0.2"/>
    <row r="121" s="27" customFormat="1" ht="14.1" customHeight="1" x14ac:dyDescent="0.2"/>
    <row r="122" s="27" customFormat="1" ht="14.1" customHeight="1" x14ac:dyDescent="0.2"/>
    <row r="123" s="27" customFormat="1" ht="14.1" customHeight="1" x14ac:dyDescent="0.2"/>
    <row r="124" s="27" customFormat="1" ht="14.1" customHeight="1" x14ac:dyDescent="0.2"/>
    <row r="125" s="27" customFormat="1" ht="14.1" customHeight="1" x14ac:dyDescent="0.2"/>
    <row r="126" s="27" customFormat="1" ht="14.1" customHeight="1" x14ac:dyDescent="0.2"/>
    <row r="127" s="27" customFormat="1" ht="14.1" customHeight="1" x14ac:dyDescent="0.2"/>
    <row r="128" s="27" customFormat="1" ht="14.1" customHeight="1" x14ac:dyDescent="0.2"/>
    <row r="129" s="27" customFormat="1" ht="14.1" customHeight="1" x14ac:dyDescent="0.2"/>
    <row r="130" s="27" customFormat="1" ht="14.1" customHeight="1" x14ac:dyDescent="0.2"/>
    <row r="131" s="27" customFormat="1" ht="14.1" customHeight="1" x14ac:dyDescent="0.2"/>
    <row r="132" s="27" customFormat="1" ht="14.1" customHeight="1" x14ac:dyDescent="0.2"/>
    <row r="133" s="27" customFormat="1" ht="14.1" customHeight="1" x14ac:dyDescent="0.2"/>
    <row r="134" s="27" customFormat="1" ht="14.1" customHeight="1" x14ac:dyDescent="0.2"/>
    <row r="135" s="27" customFormat="1" ht="14.1" customHeight="1" x14ac:dyDescent="0.2"/>
    <row r="136" s="27" customFormat="1" ht="14.1" customHeight="1" x14ac:dyDescent="0.2"/>
    <row r="137" s="27" customFormat="1" ht="14.1" customHeight="1" x14ac:dyDescent="0.2"/>
    <row r="138" s="27" customFormat="1" ht="14.1" customHeight="1" x14ac:dyDescent="0.2"/>
    <row r="139" s="27" customFormat="1" ht="14.1" customHeight="1" x14ac:dyDescent="0.2"/>
    <row r="140" s="27" customFormat="1" ht="14.1" customHeight="1" x14ac:dyDescent="0.2"/>
    <row r="141" s="27" customFormat="1" ht="14.1" customHeight="1" x14ac:dyDescent="0.2"/>
    <row r="142" s="27" customFormat="1" ht="14.1" customHeight="1" x14ac:dyDescent="0.2"/>
    <row r="143" s="27" customFormat="1" ht="14.1" customHeight="1" x14ac:dyDescent="0.2"/>
    <row r="144" s="27" customFormat="1" ht="14.1" customHeight="1" x14ac:dyDescent="0.2"/>
    <row r="145" s="27" customFormat="1" ht="14.1" customHeight="1" x14ac:dyDescent="0.2"/>
    <row r="146" s="27" customFormat="1" ht="14.1" customHeight="1" x14ac:dyDescent="0.2"/>
    <row r="147" s="27" customFormat="1" ht="14.1" customHeight="1" x14ac:dyDescent="0.2"/>
    <row r="148" s="27" customFormat="1" ht="14.1" customHeight="1" x14ac:dyDescent="0.2"/>
    <row r="149" s="27" customFormat="1" ht="14.1" customHeight="1" x14ac:dyDescent="0.2"/>
    <row r="150" s="27" customFormat="1" ht="14.1" customHeight="1" x14ac:dyDescent="0.2"/>
    <row r="151" s="27" customFormat="1" ht="14.1" customHeight="1" x14ac:dyDescent="0.2"/>
    <row r="152" s="27" customFormat="1" ht="14.1" customHeight="1" x14ac:dyDescent="0.2"/>
    <row r="153" s="27" customFormat="1" ht="14.1" customHeight="1" x14ac:dyDescent="0.2"/>
    <row r="154" s="27" customFormat="1" ht="14.1" customHeight="1" x14ac:dyDescent="0.2"/>
    <row r="155" s="27" customFormat="1" ht="14.1" customHeight="1" x14ac:dyDescent="0.2"/>
    <row r="156" s="27" customFormat="1" ht="14.1" customHeight="1" x14ac:dyDescent="0.2"/>
    <row r="157" s="27" customFormat="1" ht="14.1" customHeight="1" x14ac:dyDescent="0.2"/>
    <row r="158" s="27" customFormat="1" ht="14.1" customHeight="1" x14ac:dyDescent="0.2"/>
    <row r="159" s="27" customFormat="1" ht="14.1" customHeight="1" x14ac:dyDescent="0.2"/>
    <row r="160" s="27" customFormat="1" ht="14.1" customHeight="1" x14ac:dyDescent="0.2"/>
    <row r="161" s="27" customFormat="1" ht="14.1" customHeight="1" x14ac:dyDescent="0.2"/>
    <row r="162" s="27" customFormat="1" ht="14.1" customHeight="1" x14ac:dyDescent="0.2"/>
    <row r="163" s="27" customFormat="1" ht="14.1" customHeight="1" x14ac:dyDescent="0.2"/>
    <row r="164" s="27" customFormat="1" ht="14.1" customHeight="1" x14ac:dyDescent="0.2"/>
    <row r="165" s="27" customFormat="1" ht="14.1" customHeight="1" x14ac:dyDescent="0.2"/>
    <row r="166" s="27" customFormat="1" ht="14.1" customHeight="1" x14ac:dyDescent="0.2"/>
    <row r="167" s="27" customFormat="1" ht="14.1" customHeight="1" x14ac:dyDescent="0.2"/>
    <row r="168" s="27" customFormat="1" ht="14.1" customHeight="1" x14ac:dyDescent="0.2"/>
    <row r="169" s="27" customFormat="1" ht="14.1" customHeight="1" x14ac:dyDescent="0.2"/>
    <row r="170" s="27" customFormat="1" ht="14.1" customHeight="1" x14ac:dyDescent="0.2"/>
    <row r="171" s="27" customFormat="1" ht="14.1" customHeight="1" x14ac:dyDescent="0.2"/>
    <row r="172" s="27" customFormat="1" ht="14.1" customHeight="1" x14ac:dyDescent="0.2"/>
    <row r="173" s="27" customFormat="1" ht="14.1" customHeight="1" x14ac:dyDescent="0.2"/>
    <row r="174" s="27" customFormat="1" ht="14.1" customHeight="1" x14ac:dyDescent="0.2"/>
    <row r="175" s="27" customFormat="1" ht="14.1" customHeight="1" x14ac:dyDescent="0.2"/>
    <row r="176" s="27" customFormat="1" ht="14.1" customHeight="1" x14ac:dyDescent="0.2"/>
    <row r="177" s="27" customFormat="1" ht="14.1" customHeight="1" x14ac:dyDescent="0.2"/>
    <row r="178" s="27" customFormat="1" ht="14.1" customHeight="1" x14ac:dyDescent="0.2"/>
    <row r="179" s="27" customFormat="1" ht="14.1" customHeight="1" x14ac:dyDescent="0.2"/>
    <row r="180" s="27" customFormat="1" ht="14.1" customHeight="1" x14ac:dyDescent="0.2"/>
    <row r="181" s="27" customFormat="1" ht="14.1" customHeight="1" x14ac:dyDescent="0.2"/>
    <row r="182" s="27" customFormat="1" ht="14.1" customHeight="1" x14ac:dyDescent="0.2"/>
    <row r="183" s="27" customFormat="1" ht="14.1" customHeight="1" x14ac:dyDescent="0.2"/>
    <row r="184" s="27" customFormat="1" ht="14.1" customHeight="1" x14ac:dyDescent="0.2"/>
    <row r="185" s="27" customFormat="1" ht="14.1" customHeight="1" x14ac:dyDescent="0.2"/>
    <row r="186" s="27" customFormat="1" ht="14.1" customHeight="1" x14ac:dyDescent="0.2"/>
    <row r="187" s="27" customFormat="1" ht="14.1" customHeight="1" x14ac:dyDescent="0.2"/>
    <row r="188" s="27" customFormat="1" ht="14.1" customHeight="1" x14ac:dyDescent="0.2"/>
    <row r="189" s="27" customFormat="1" ht="14.1" customHeight="1" x14ac:dyDescent="0.2"/>
    <row r="190" s="27" customFormat="1" ht="14.1" customHeight="1" x14ac:dyDescent="0.2"/>
    <row r="191" s="27" customFormat="1" ht="14.1" customHeight="1" x14ac:dyDescent="0.2"/>
  </sheetData>
  <sheetProtection sheet="1" selectLockedCells="1"/>
  <mergeCells count="5">
    <mergeCell ref="N84:P84"/>
    <mergeCell ref="B6:C6"/>
    <mergeCell ref="B8:C8"/>
    <mergeCell ref="N65:P65"/>
    <mergeCell ref="N83:O83"/>
  </mergeCells>
  <pageMargins left="0.25" right="0.25" top="0.75" bottom="0.75" header="0.3" footer="0.3"/>
  <pageSetup paperSize="9" scale="24" fitToHeight="0" orientation="portrait" r:id="rId1"/>
  <headerFooter>
    <oddFooter>&amp;L&amp;A&amp;R&amp;P/&amp;N</oddFooter>
  </headerFooter>
  <rowBreaks count="1" manualBreakCount="1">
    <brk id="52" max="28" man="1"/>
  </rowBreaks>
  <colBreaks count="1" manualBreakCount="1">
    <brk id="8" max="96" man="1"/>
  </colBreak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45D474F6-EF6B-436B-A804-027BC11CD743}">
          <x14:formula1>
            <xm:f>'Osnovni podatki'!$B$6:$B$41</xm:f>
          </x14:formula1>
          <xm:sqref>D6:AC6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8">
    <tabColor rgb="FFFFFF00"/>
  </sheetPr>
  <dimension ref="A1:Y95"/>
  <sheetViews>
    <sheetView showGridLines="0" view="pageBreakPreview" zoomScaleNormal="100" zoomScaleSheetLayoutView="100" workbookViewId="0">
      <selection activeCell="J60" sqref="J60"/>
    </sheetView>
  </sheetViews>
  <sheetFormatPr defaultColWidth="9.140625" defaultRowHeight="12.75" x14ac:dyDescent="0.2"/>
  <cols>
    <col min="1" max="1" width="2.7109375" style="5" customWidth="1"/>
    <col min="2" max="2" width="44.5703125" style="5" bestFit="1" customWidth="1"/>
    <col min="3" max="3" width="12" style="5" customWidth="1"/>
    <col min="4" max="15" width="15.7109375" style="5" customWidth="1"/>
    <col min="16" max="16" width="2.7109375" style="5" customWidth="1"/>
    <col min="17" max="17" width="8.140625" style="5" bestFit="1" customWidth="1"/>
    <col min="18" max="18" width="15.5703125" style="5" bestFit="1" customWidth="1"/>
    <col min="19" max="16384" width="9.140625" style="5"/>
  </cols>
  <sheetData>
    <row r="1" spans="2:17" x14ac:dyDescent="0.2">
      <c r="D1" s="19"/>
    </row>
    <row r="2" spans="2:17" ht="20.25" x14ac:dyDescent="0.2">
      <c r="B2" s="53" t="s">
        <v>4</v>
      </c>
      <c r="C2" s="27"/>
      <c r="D2" s="19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</row>
    <row r="3" spans="2:17" ht="20.25" x14ac:dyDescent="0.2">
      <c r="B3" s="53"/>
      <c r="C3" s="27"/>
      <c r="D3" s="19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2:17" ht="13.5" thickBot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2:17" ht="15" customHeight="1" x14ac:dyDescent="0.2">
      <c r="B5" s="1" t="str">
        <f>'IS01'!B5</f>
        <v>Osnovni podatki o objektu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294"/>
      <c r="P5" s="27"/>
      <c r="Q5" s="27"/>
    </row>
    <row r="6" spans="2:17" ht="15" customHeight="1" x14ac:dyDescent="0.2">
      <c r="B6" s="295" t="str">
        <f>'IS01'!B6:C6</f>
        <v>Št.</v>
      </c>
      <c r="C6" s="296"/>
      <c r="D6" s="297">
        <f>'IS01'!D6</f>
        <v>1</v>
      </c>
      <c r="E6" s="297">
        <f>'IS02'!D6</f>
        <v>2</v>
      </c>
      <c r="F6" s="297">
        <f>'IS03'!D6</f>
        <v>3</v>
      </c>
      <c r="G6" s="297">
        <f>'IS04'!D6</f>
        <v>4</v>
      </c>
      <c r="H6" s="297">
        <f>'IS05'!D6</f>
        <v>5</v>
      </c>
      <c r="I6" s="297">
        <f>'IS06'!D6</f>
        <v>6</v>
      </c>
      <c r="J6" s="297">
        <f>'IS07'!D6</f>
        <v>7</v>
      </c>
      <c r="K6" s="297">
        <f>'IS08'!D6</f>
        <v>8</v>
      </c>
      <c r="L6" s="297">
        <f>'IS09'!D6</f>
        <v>9</v>
      </c>
      <c r="M6" s="297">
        <f>'IS10'!D6</f>
        <v>10</v>
      </c>
      <c r="N6" s="297" t="str">
        <f>'SS01'!AD6</f>
        <v>Skupnost</v>
      </c>
      <c r="O6" s="362" t="s">
        <v>218</v>
      </c>
      <c r="P6" s="27"/>
      <c r="Q6" s="27"/>
    </row>
    <row r="7" spans="2:17" ht="15" customHeight="1" x14ac:dyDescent="0.2">
      <c r="B7" s="295" t="str">
        <f>'IS01'!B7:C7</f>
        <v>ID</v>
      </c>
      <c r="C7" s="296"/>
      <c r="D7" s="297" t="str">
        <f ca="1">'IS01'!D7</f>
        <v>IS01</v>
      </c>
      <c r="E7" s="297" t="str">
        <f ca="1">'IS02'!D7</f>
        <v>IS02</v>
      </c>
      <c r="F7" s="297" t="str">
        <f ca="1">'IS03'!D7</f>
        <v>IS03</v>
      </c>
      <c r="G7" s="297" t="str">
        <f ca="1">'IS04'!D7</f>
        <v>IS04</v>
      </c>
      <c r="H7" s="297" t="str">
        <f ca="1">'IS05'!D7</f>
        <v>IS05</v>
      </c>
      <c r="I7" s="297" t="str">
        <f ca="1">'IS06'!D7</f>
        <v>IS06</v>
      </c>
      <c r="J7" s="297" t="str">
        <f ca="1">'IS07'!D7</f>
        <v>IS07</v>
      </c>
      <c r="K7" s="297" t="str">
        <f ca="1">'IS08'!D7</f>
        <v>IS08</v>
      </c>
      <c r="L7" s="297" t="str">
        <f ca="1">'IS09'!D7</f>
        <v>IS09</v>
      </c>
      <c r="M7" s="297" t="str">
        <f ca="1">'IS10'!D7</f>
        <v>IS10</v>
      </c>
      <c r="N7" s="297" t="str">
        <f ca="1">'SS01'!AD7</f>
        <v>SS01</v>
      </c>
      <c r="O7" s="362"/>
      <c r="P7" s="27"/>
      <c r="Q7" s="27"/>
    </row>
    <row r="8" spans="2:17" ht="27.75" customHeight="1" x14ac:dyDescent="0.2">
      <c r="B8" s="295" t="str">
        <f>'IS01'!B8:C8</f>
        <v>Naziv naprave/objekta</v>
      </c>
      <c r="C8" s="298"/>
      <c r="D8" s="299" t="str">
        <f>'IS01'!D8</f>
        <v>SE Mladinski center</v>
      </c>
      <c r="E8" s="299" t="str">
        <f>'IS02'!D8</f>
        <v>SE Kulturni dom Dobova 1</v>
      </c>
      <c r="F8" s="299" t="str">
        <f>'IS03'!D8</f>
        <v>SE Podružnica šola Kapele</v>
      </c>
      <c r="G8" s="299" t="str">
        <f>'IS04'!D8</f>
        <v>SE Stadion Brežice 1</v>
      </c>
      <c r="H8" s="299" t="str">
        <f>'IS05'!D8</f>
        <v>SE Osnovna šola Artiče - črpališče</v>
      </c>
      <c r="I8" s="299" t="str">
        <f>'IS06'!D8</f>
        <v>SE Prosvetni dom Artiče</v>
      </c>
      <c r="J8" s="299" t="str">
        <f>'IS07'!D8</f>
        <v>SE Zdravstvena postaja Bizeljsko</v>
      </c>
      <c r="K8" s="299" t="str">
        <f>'IS08'!D8</f>
        <v>SE Osnovna šola Velika Dolina 1</v>
      </c>
      <c r="L8" s="299" t="str">
        <f>'IS09'!D8</f>
        <v>SE Osnovna šola Dobova 1</v>
      </c>
      <c r="M8" s="299" t="str">
        <f>'IS10'!D8</f>
        <v>SE Dom krajanov Velike Malence</v>
      </c>
      <c r="N8" s="299" t="str">
        <f>'SS01'!AD8</f>
        <v>Skupnost</v>
      </c>
      <c r="O8" s="363"/>
      <c r="P8" s="27"/>
      <c r="Q8" s="27"/>
    </row>
    <row r="9" spans="2:17" ht="15" customHeight="1" x14ac:dyDescent="0.2">
      <c r="B9" s="300" t="str">
        <f>'IS01'!B9</f>
        <v>Referenčna raba električne energije</v>
      </c>
      <c r="C9" s="301"/>
      <c r="D9" s="301"/>
      <c r="E9" s="301"/>
      <c r="F9" s="301"/>
      <c r="G9" s="301"/>
      <c r="H9" s="301"/>
      <c r="I9" s="301"/>
      <c r="J9" s="301"/>
      <c r="K9" s="301"/>
      <c r="L9" s="301"/>
      <c r="M9" s="301"/>
      <c r="N9" s="301"/>
      <c r="O9" s="302"/>
      <c r="P9" s="27"/>
      <c r="Q9" s="27"/>
    </row>
    <row r="10" spans="2:17" ht="15" customHeight="1" x14ac:dyDescent="0.2">
      <c r="B10" s="163" t="str">
        <f>'IS01'!B10</f>
        <v>Referenčna poraba</v>
      </c>
      <c r="C10" s="164" t="str">
        <f>'IS01'!C10</f>
        <v>MWh/a</v>
      </c>
      <c r="D10" s="303">
        <f>'IS01'!D10</f>
        <v>24.8</v>
      </c>
      <c r="E10" s="303">
        <f>'IS02'!D10</f>
        <v>13.7</v>
      </c>
      <c r="F10" s="303">
        <f>'IS03'!D10</f>
        <v>52.43</v>
      </c>
      <c r="G10" s="303">
        <f>'IS04'!D10</f>
        <v>14.36</v>
      </c>
      <c r="H10" s="303">
        <f>'IS05'!D10</f>
        <v>14</v>
      </c>
      <c r="I10" s="303">
        <f>'IS06'!D10</f>
        <v>18.600000000000001</v>
      </c>
      <c r="J10" s="303">
        <f>'IS07'!D10</f>
        <v>29.1</v>
      </c>
      <c r="K10" s="303">
        <f>'IS08'!D10</f>
        <v>26.9</v>
      </c>
      <c r="L10" s="303">
        <f>'IS09'!D10</f>
        <v>26</v>
      </c>
      <c r="M10" s="303">
        <f>'IS10'!D10</f>
        <v>7.6</v>
      </c>
      <c r="N10" s="303">
        <f>'SS01'!AD10</f>
        <v>2948.6499999999996</v>
      </c>
      <c r="O10" s="304">
        <f>SUM(D10:N10)</f>
        <v>3176.1399999999994</v>
      </c>
      <c r="P10" s="27"/>
      <c r="Q10" s="27"/>
    </row>
    <row r="11" spans="2:17" ht="15" customHeight="1" x14ac:dyDescent="0.2">
      <c r="B11" s="163" t="str">
        <f>'IS01'!B11</f>
        <v>Faktor primarne energije</v>
      </c>
      <c r="C11" s="164" t="str">
        <f>'IS01'!C11</f>
        <v>/</v>
      </c>
      <c r="D11" s="303">
        <f>'IS01'!D11</f>
        <v>0</v>
      </c>
      <c r="E11" s="303">
        <f>'IS02'!D11</f>
        <v>0</v>
      </c>
      <c r="F11" s="303">
        <f>'IS03'!D11</f>
        <v>0</v>
      </c>
      <c r="G11" s="303">
        <f>'IS04'!D11</f>
        <v>0</v>
      </c>
      <c r="H11" s="303">
        <f>'IS05'!D11</f>
        <v>0</v>
      </c>
      <c r="I11" s="303">
        <f>'IS06'!D11</f>
        <v>0</v>
      </c>
      <c r="J11" s="303">
        <f>'IS07'!D11</f>
        <v>0</v>
      </c>
      <c r="K11" s="303">
        <f>'IS08'!D11</f>
        <v>0</v>
      </c>
      <c r="L11" s="303">
        <f>'IS09'!D11</f>
        <v>0</v>
      </c>
      <c r="M11" s="303">
        <f>'IS10'!D11</f>
        <v>0</v>
      </c>
      <c r="N11" s="303">
        <f>'SS01'!AD11</f>
        <v>0</v>
      </c>
      <c r="O11" s="304">
        <f>SUMPRODUCT(D10:N10,D11:N11)/O10</f>
        <v>0</v>
      </c>
      <c r="P11" s="27"/>
      <c r="Q11" s="27"/>
    </row>
    <row r="12" spans="2:17" ht="15" customHeight="1" x14ac:dyDescent="0.2">
      <c r="B12" s="163" t="str">
        <f>'IS01'!B12</f>
        <v>Referenčna cena električne energije</v>
      </c>
      <c r="C12" s="164" t="str">
        <f>'IS01'!C12</f>
        <v>EUR/MWh</v>
      </c>
      <c r="D12" s="303">
        <f>'IS01'!D12</f>
        <v>0</v>
      </c>
      <c r="E12" s="303">
        <f>'IS02'!D12</f>
        <v>0</v>
      </c>
      <c r="F12" s="303">
        <f>'IS03'!D12</f>
        <v>0</v>
      </c>
      <c r="G12" s="303">
        <f>'IS04'!D12</f>
        <v>0</v>
      </c>
      <c r="H12" s="303">
        <f>'IS05'!D12</f>
        <v>0</v>
      </c>
      <c r="I12" s="303">
        <f>'IS06'!D12</f>
        <v>0</v>
      </c>
      <c r="J12" s="303">
        <f>'IS07'!D12</f>
        <v>0</v>
      </c>
      <c r="K12" s="303">
        <f>'IS08'!D12</f>
        <v>0</v>
      </c>
      <c r="L12" s="303">
        <f>'IS09'!D12</f>
        <v>0</v>
      </c>
      <c r="M12" s="303">
        <f>'IS10'!D12</f>
        <v>0</v>
      </c>
      <c r="N12" s="303">
        <f>'SS01'!AD12</f>
        <v>0</v>
      </c>
      <c r="O12" s="304">
        <f>IFERROR(O13/O10,"")</f>
        <v>0</v>
      </c>
      <c r="P12" s="27"/>
      <c r="Q12" s="27"/>
    </row>
    <row r="13" spans="2:17" ht="15" customHeight="1" x14ac:dyDescent="0.2">
      <c r="B13" s="163" t="str">
        <f>'IS01'!B13</f>
        <v>Referenčni strošek električne energije</v>
      </c>
      <c r="C13" s="164" t="str">
        <f>'IS01'!C13</f>
        <v>EUR/a</v>
      </c>
      <c r="D13" s="303">
        <f>'IS01'!D13</f>
        <v>0</v>
      </c>
      <c r="E13" s="303">
        <f>'IS02'!D13</f>
        <v>0</v>
      </c>
      <c r="F13" s="303">
        <f>'IS03'!D13</f>
        <v>0</v>
      </c>
      <c r="G13" s="303">
        <f>'IS04'!D13</f>
        <v>0</v>
      </c>
      <c r="H13" s="303">
        <f>'IS05'!D13</f>
        <v>0</v>
      </c>
      <c r="I13" s="303">
        <f>'IS06'!D13</f>
        <v>0</v>
      </c>
      <c r="J13" s="303">
        <f>'IS07'!D13</f>
        <v>0</v>
      </c>
      <c r="K13" s="303">
        <f>'IS08'!D13</f>
        <v>0</v>
      </c>
      <c r="L13" s="303">
        <f>'IS09'!D13</f>
        <v>0</v>
      </c>
      <c r="M13" s="303">
        <f>'IS10'!D13</f>
        <v>0</v>
      </c>
      <c r="N13" s="303">
        <f>'SS01'!AD13</f>
        <v>0</v>
      </c>
      <c r="O13" s="305">
        <f>SUM(D13:N13)</f>
        <v>0</v>
      </c>
      <c r="P13" s="27"/>
      <c r="Q13" s="27"/>
    </row>
    <row r="14" spans="2:17" ht="15" customHeight="1" x14ac:dyDescent="0.2">
      <c r="B14" s="163" t="str">
        <f>'IS01'!B14</f>
        <v>Referenčna cena viškov</v>
      </c>
      <c r="C14" s="164" t="str">
        <f>'IS01'!C14</f>
        <v>EUR/MWh</v>
      </c>
      <c r="D14" s="303">
        <f>'IS01'!D14</f>
        <v>0</v>
      </c>
      <c r="E14" s="303">
        <f>'IS02'!D14</f>
        <v>0</v>
      </c>
      <c r="F14" s="303">
        <f>'IS03'!D14</f>
        <v>0</v>
      </c>
      <c r="G14" s="303">
        <f>'IS04'!D14</f>
        <v>0</v>
      </c>
      <c r="H14" s="303">
        <f>'IS05'!D14</f>
        <v>0</v>
      </c>
      <c r="I14" s="303">
        <f>'IS06'!D14</f>
        <v>0</v>
      </c>
      <c r="J14" s="303">
        <f>'IS07'!D14</f>
        <v>0</v>
      </c>
      <c r="K14" s="303">
        <f>'IS08'!D14</f>
        <v>0</v>
      </c>
      <c r="L14" s="303">
        <f>'IS09'!D14</f>
        <v>0</v>
      </c>
      <c r="M14" s="303">
        <f>'IS10'!D14</f>
        <v>0</v>
      </c>
      <c r="N14" s="303">
        <f>'SS01'!AD14</f>
        <v>0</v>
      </c>
      <c r="O14" s="305">
        <f>IFERROR(SUMPRODUCT(D14:N14,D25:N25)/O25,AVERAGE(D14:N14))</f>
        <v>0</v>
      </c>
      <c r="P14" s="27"/>
      <c r="Q14" s="27"/>
    </row>
    <row r="15" spans="2:17" ht="15" customHeight="1" x14ac:dyDescent="0.2">
      <c r="B15" s="306" t="str">
        <f>'IS01'!B15</f>
        <v>Investicijski strošek naprave</v>
      </c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8"/>
      <c r="P15" s="27"/>
      <c r="Q15" s="27"/>
    </row>
    <row r="16" spans="2:17" ht="15" customHeight="1" x14ac:dyDescent="0.2">
      <c r="B16" s="171" t="str">
        <f>'IS01'!B16</f>
        <v>Moč naprave za samooskrbo</v>
      </c>
      <c r="C16" s="172" t="str">
        <f>'IS01'!C16</f>
        <v>kWp</v>
      </c>
      <c r="D16" s="303">
        <f>'IS01'!D16</f>
        <v>24.64</v>
      </c>
      <c r="E16" s="303">
        <f>'IS02'!D16</f>
        <v>13.64</v>
      </c>
      <c r="F16" s="303">
        <f>'IS03'!D16</f>
        <v>44.88</v>
      </c>
      <c r="G16" s="303">
        <f>'IS04'!D16</f>
        <v>12.76</v>
      </c>
      <c r="H16" s="303">
        <f>'IS05'!D16</f>
        <v>13.64</v>
      </c>
      <c r="I16" s="303">
        <f>'IS06'!D16</f>
        <v>18.48</v>
      </c>
      <c r="J16" s="303">
        <f>'IS07'!D16</f>
        <v>29.04</v>
      </c>
      <c r="K16" s="303">
        <f>'IS08'!D16</f>
        <v>25.52</v>
      </c>
      <c r="L16" s="303">
        <f>'IS09'!D16</f>
        <v>25.52</v>
      </c>
      <c r="M16" s="303">
        <f>'IS10'!D16</f>
        <v>7.04</v>
      </c>
      <c r="N16" s="303">
        <f>'SS01'!AD16</f>
        <v>2276.3199999999997</v>
      </c>
      <c r="O16" s="304">
        <f>SUM(D16:N16)</f>
        <v>2491.4799999999996</v>
      </c>
      <c r="P16" s="27"/>
      <c r="Q16" s="27"/>
    </row>
    <row r="17" spans="2:17" ht="15" customHeight="1" x14ac:dyDescent="0.2">
      <c r="B17" s="171" t="str">
        <f>'IS01'!B17</f>
        <v>Investicijski strošek naprave</v>
      </c>
      <c r="C17" s="172" t="str">
        <f>'IS01'!C17</f>
        <v>EUR</v>
      </c>
      <c r="D17" s="303">
        <f>'IS01'!D17</f>
        <v>0</v>
      </c>
      <c r="E17" s="303">
        <f>'IS02'!D17</f>
        <v>0</v>
      </c>
      <c r="F17" s="303">
        <f>'IS03'!D17</f>
        <v>0</v>
      </c>
      <c r="G17" s="303">
        <f>'IS04'!D17</f>
        <v>0</v>
      </c>
      <c r="H17" s="303">
        <f>'IS05'!D17</f>
        <v>0</v>
      </c>
      <c r="I17" s="303">
        <f>'IS06'!D17</f>
        <v>0</v>
      </c>
      <c r="J17" s="303">
        <f>'IS07'!D17</f>
        <v>0</v>
      </c>
      <c r="K17" s="303">
        <f>'IS08'!D17</f>
        <v>0</v>
      </c>
      <c r="L17" s="303">
        <f>'IS09'!D17</f>
        <v>0</v>
      </c>
      <c r="M17" s="303">
        <f>'IS10'!D17</f>
        <v>0</v>
      </c>
      <c r="N17" s="303">
        <f>'SS01'!AD17</f>
        <v>0</v>
      </c>
      <c r="O17" s="304">
        <f>SUM(D17:N17)</f>
        <v>0</v>
      </c>
      <c r="P17" s="27"/>
      <c r="Q17" s="27"/>
    </row>
    <row r="18" spans="2:17" ht="15" customHeight="1" x14ac:dyDescent="0.2">
      <c r="B18" s="171" t="str">
        <f>'IS01'!B18</f>
        <v>Subvencija</v>
      </c>
      <c r="C18" s="172" t="str">
        <f>'IS01'!C18</f>
        <v>EUR</v>
      </c>
      <c r="D18" s="303">
        <f>'IS01'!D18</f>
        <v>8821.1200000000008</v>
      </c>
      <c r="E18" s="303">
        <f>'IS02'!D18</f>
        <v>4883.12</v>
      </c>
      <c r="F18" s="303">
        <f>'IS03'!D18</f>
        <v>16067.04</v>
      </c>
      <c r="G18" s="303">
        <f>'IS04'!D18</f>
        <v>4568.08</v>
      </c>
      <c r="H18" s="303">
        <f>'IS05'!D18</f>
        <v>4883.12</v>
      </c>
      <c r="I18" s="303">
        <f>'IS06'!D18</f>
        <v>6615.84</v>
      </c>
      <c r="J18" s="303">
        <f>'IS07'!D18</f>
        <v>10396.32</v>
      </c>
      <c r="K18" s="303">
        <f>'IS08'!D18</f>
        <v>9136.16</v>
      </c>
      <c r="L18" s="303">
        <f>'IS09'!D18</f>
        <v>9136.16</v>
      </c>
      <c r="M18" s="303">
        <f>'IS10'!D18</f>
        <v>2520.3200000000002</v>
      </c>
      <c r="N18" s="303">
        <f>'SS01'!AD18</f>
        <v>758215.35999999987</v>
      </c>
      <c r="O18" s="304">
        <f>SUM(D18:N18)</f>
        <v>835242.6399999999</v>
      </c>
      <c r="P18" s="27"/>
      <c r="Q18" s="27"/>
    </row>
    <row r="19" spans="2:17" ht="15" customHeight="1" x14ac:dyDescent="0.2">
      <c r="B19" s="171" t="str">
        <f>'IS01'!B19</f>
        <v>Delež financiranja zasebnega partnerja</v>
      </c>
      <c r="C19" s="172" t="str">
        <f>'IS01'!C19</f>
        <v>%</v>
      </c>
      <c r="D19" s="309">
        <f>'IS01'!D19</f>
        <v>0</v>
      </c>
      <c r="E19" s="309">
        <f>'IS02'!D19</f>
        <v>0</v>
      </c>
      <c r="F19" s="309">
        <f>'IS03'!D19</f>
        <v>0</v>
      </c>
      <c r="G19" s="309">
        <f>'IS04'!D19</f>
        <v>0</v>
      </c>
      <c r="H19" s="309">
        <f>'IS05'!D19</f>
        <v>0</v>
      </c>
      <c r="I19" s="309">
        <f>'IS06'!D19</f>
        <v>0</v>
      </c>
      <c r="J19" s="309">
        <f>'IS07'!D19</f>
        <v>0</v>
      </c>
      <c r="K19" s="309">
        <f>'IS08'!D19</f>
        <v>0</v>
      </c>
      <c r="L19" s="309">
        <f>'IS09'!D19</f>
        <v>0</v>
      </c>
      <c r="M19" s="309">
        <f>'IS10'!D19</f>
        <v>0</v>
      </c>
      <c r="N19" s="309">
        <f>'SS01'!AD19</f>
        <v>0</v>
      </c>
      <c r="O19" s="310">
        <f>IFERROR(O21/O17,0)</f>
        <v>0</v>
      </c>
      <c r="P19" s="27"/>
      <c r="Q19" s="27"/>
    </row>
    <row r="20" spans="2:17" ht="15" customHeight="1" x14ac:dyDescent="0.2">
      <c r="B20" s="171" t="str">
        <f>'IS01'!B20</f>
        <v>Strošek financiranja javnega partnerja</v>
      </c>
      <c r="C20" s="172" t="str">
        <f>'IS01'!C20</f>
        <v>EUR</v>
      </c>
      <c r="D20" s="303">
        <f>'IS01'!D20</f>
        <v>-8821.1200000000008</v>
      </c>
      <c r="E20" s="303">
        <f>'IS02'!D20</f>
        <v>-4883.12</v>
      </c>
      <c r="F20" s="303">
        <f>'IS03'!D20</f>
        <v>-16067.04</v>
      </c>
      <c r="G20" s="303">
        <f>'IS04'!D20</f>
        <v>-4568.08</v>
      </c>
      <c r="H20" s="303">
        <f>'IS05'!D20</f>
        <v>-4883.12</v>
      </c>
      <c r="I20" s="303">
        <f>'IS06'!D20</f>
        <v>-6615.84</v>
      </c>
      <c r="J20" s="303">
        <f>'IS07'!D20</f>
        <v>-10396.32</v>
      </c>
      <c r="K20" s="303">
        <f>'IS08'!D20</f>
        <v>-9136.16</v>
      </c>
      <c r="L20" s="303">
        <f>'IS09'!D20</f>
        <v>-9136.16</v>
      </c>
      <c r="M20" s="303">
        <f>'IS10'!D20</f>
        <v>-2520.3200000000002</v>
      </c>
      <c r="N20" s="303">
        <f>'SS01'!AD20</f>
        <v>-758215.35999999987</v>
      </c>
      <c r="O20" s="304">
        <f>SUM(D20:N20)</f>
        <v>-835242.6399999999</v>
      </c>
      <c r="P20" s="27"/>
      <c r="Q20" s="27"/>
    </row>
    <row r="21" spans="2:17" ht="15" customHeight="1" x14ac:dyDescent="0.2">
      <c r="B21" s="171" t="str">
        <f>'IS01'!B21</f>
        <v>Strošek financiranja zasebnega partnerja</v>
      </c>
      <c r="C21" s="172" t="str">
        <f>'IS01'!C21</f>
        <v>EUR</v>
      </c>
      <c r="D21" s="303">
        <f>'IS01'!D21</f>
        <v>0</v>
      </c>
      <c r="E21" s="303">
        <f>'IS02'!D21</f>
        <v>0</v>
      </c>
      <c r="F21" s="303">
        <f>'IS03'!D21</f>
        <v>0</v>
      </c>
      <c r="G21" s="303">
        <f>'IS04'!D21</f>
        <v>0</v>
      </c>
      <c r="H21" s="303">
        <f>'IS05'!D21</f>
        <v>0</v>
      </c>
      <c r="I21" s="303">
        <f>'IS06'!D21</f>
        <v>0</v>
      </c>
      <c r="J21" s="303">
        <f>'IS07'!D21</f>
        <v>0</v>
      </c>
      <c r="K21" s="303">
        <f>'IS08'!D21</f>
        <v>0</v>
      </c>
      <c r="L21" s="303">
        <f>'IS09'!D21</f>
        <v>0</v>
      </c>
      <c r="M21" s="303">
        <f>'IS10'!D21</f>
        <v>0</v>
      </c>
      <c r="N21" s="303">
        <f>'SS01'!AD21</f>
        <v>0</v>
      </c>
      <c r="O21" s="304">
        <f>SUM(D21:N21)</f>
        <v>0</v>
      </c>
      <c r="P21" s="27"/>
      <c r="Q21" s="27"/>
    </row>
    <row r="22" spans="2:17" ht="15" customHeight="1" x14ac:dyDescent="0.2">
      <c r="B22" s="311" t="str">
        <f>'IS01'!B22</f>
        <v>Proizvodnja električne energije</v>
      </c>
      <c r="C22" s="312"/>
      <c r="D22" s="312"/>
      <c r="E22" s="312"/>
      <c r="F22" s="312"/>
      <c r="G22" s="312"/>
      <c r="H22" s="312"/>
      <c r="I22" s="312"/>
      <c r="J22" s="312"/>
      <c r="K22" s="312"/>
      <c r="L22" s="312"/>
      <c r="M22" s="312"/>
      <c r="N22" s="312"/>
      <c r="O22" s="313"/>
      <c r="P22" s="27"/>
      <c r="Q22" s="27"/>
    </row>
    <row r="23" spans="2:17" ht="15" customHeight="1" x14ac:dyDescent="0.2">
      <c r="B23" s="182" t="str">
        <f>'IS01'!B23</f>
        <v>Skupna proizvodnja električne energije</v>
      </c>
      <c r="C23" s="183" t="str">
        <f>'IS01'!C23</f>
        <v>MWh/a</v>
      </c>
      <c r="D23" s="303">
        <f>'IS01'!D23</f>
        <v>0</v>
      </c>
      <c r="E23" s="303">
        <f>'IS02'!D23</f>
        <v>0</v>
      </c>
      <c r="F23" s="303">
        <f>'IS03'!D23</f>
        <v>0</v>
      </c>
      <c r="G23" s="303">
        <f>'IS04'!D23</f>
        <v>0</v>
      </c>
      <c r="H23" s="303">
        <f>'IS05'!D23</f>
        <v>0</v>
      </c>
      <c r="I23" s="303">
        <f>'IS06'!D23</f>
        <v>0</v>
      </c>
      <c r="J23" s="303">
        <f>'IS07'!D23</f>
        <v>0</v>
      </c>
      <c r="K23" s="303">
        <f>'IS08'!D23</f>
        <v>0</v>
      </c>
      <c r="L23" s="303">
        <f>'IS09'!D23</f>
        <v>0</v>
      </c>
      <c r="M23" s="303">
        <f>'IS10'!D23</f>
        <v>0</v>
      </c>
      <c r="N23" s="303">
        <f>'SS01'!AD23</f>
        <v>0</v>
      </c>
      <c r="O23" s="304">
        <f>SUM(D23:N23)</f>
        <v>0</v>
      </c>
      <c r="P23" s="27"/>
      <c r="Q23" s="27"/>
    </row>
    <row r="24" spans="2:17" ht="15" customHeight="1" x14ac:dyDescent="0.2">
      <c r="B24" s="182" t="str">
        <f>'IS01'!B24</f>
        <v>Proizvodnja za samooskrbo</v>
      </c>
      <c r="C24" s="183" t="str">
        <f>'IS01'!C24</f>
        <v>MWh/a</v>
      </c>
      <c r="D24" s="303">
        <f>'IS01'!D24</f>
        <v>0</v>
      </c>
      <c r="E24" s="303">
        <f>'IS02'!D24</f>
        <v>0</v>
      </c>
      <c r="F24" s="303">
        <f>'IS03'!D24</f>
        <v>0</v>
      </c>
      <c r="G24" s="303">
        <f>'IS04'!D24</f>
        <v>0</v>
      </c>
      <c r="H24" s="303">
        <f>'IS05'!D24</f>
        <v>0</v>
      </c>
      <c r="I24" s="303">
        <f>'IS06'!D24</f>
        <v>0</v>
      </c>
      <c r="J24" s="303">
        <f>'IS07'!D24</f>
        <v>0</v>
      </c>
      <c r="K24" s="303">
        <f>'IS08'!D24</f>
        <v>0</v>
      </c>
      <c r="L24" s="303">
        <f>'IS09'!D24</f>
        <v>0</v>
      </c>
      <c r="M24" s="303">
        <f>'IS10'!D24</f>
        <v>0</v>
      </c>
      <c r="N24" s="303">
        <f>'SS01'!AD24</f>
        <v>0</v>
      </c>
      <c r="O24" s="304">
        <f t="shared" ref="O24:O26" si="0">SUM(D24:N24)</f>
        <v>0</v>
      </c>
      <c r="P24" s="27"/>
      <c r="Q24" s="27"/>
    </row>
    <row r="25" spans="2:17" ht="15" customHeight="1" x14ac:dyDescent="0.2">
      <c r="B25" s="182" t="str">
        <f>'IS01'!B25</f>
        <v>Proizvodnja viškov</v>
      </c>
      <c r="C25" s="183" t="str">
        <f>'IS01'!C25</f>
        <v>MWh/a</v>
      </c>
      <c r="D25" s="303">
        <f>'IS01'!D25</f>
        <v>0</v>
      </c>
      <c r="E25" s="303">
        <f>'IS02'!D25</f>
        <v>0</v>
      </c>
      <c r="F25" s="303">
        <f>'IS03'!D25</f>
        <v>0</v>
      </c>
      <c r="G25" s="303">
        <f>'IS04'!D25</f>
        <v>0</v>
      </c>
      <c r="H25" s="303">
        <f>'IS05'!D25</f>
        <v>0</v>
      </c>
      <c r="I25" s="303">
        <f>'IS06'!D25</f>
        <v>0</v>
      </c>
      <c r="J25" s="303">
        <f>'IS07'!D25</f>
        <v>0</v>
      </c>
      <c r="K25" s="303">
        <f>'IS08'!D25</f>
        <v>0</v>
      </c>
      <c r="L25" s="303">
        <f>'IS09'!D25</f>
        <v>0</v>
      </c>
      <c r="M25" s="303">
        <f>'IS10'!D25</f>
        <v>0</v>
      </c>
      <c r="N25" s="303">
        <f>'SS01'!AD25</f>
        <v>0</v>
      </c>
      <c r="O25" s="304">
        <f t="shared" si="0"/>
        <v>0</v>
      </c>
      <c r="P25" s="27"/>
      <c r="Q25" s="27"/>
    </row>
    <row r="26" spans="2:17" ht="15" customHeight="1" x14ac:dyDescent="0.2">
      <c r="B26" s="182" t="str">
        <f>'IS01'!B26</f>
        <v>Manki energije</v>
      </c>
      <c r="C26" s="183" t="str">
        <f>'IS01'!C26</f>
        <v>MWh/a</v>
      </c>
      <c r="D26" s="303">
        <f>'IS01'!D26</f>
        <v>24.8</v>
      </c>
      <c r="E26" s="303">
        <f>'IS02'!D26</f>
        <v>13.7</v>
      </c>
      <c r="F26" s="303">
        <f>'IS03'!D26</f>
        <v>52.43</v>
      </c>
      <c r="G26" s="303">
        <f>'IS04'!D26</f>
        <v>14.36</v>
      </c>
      <c r="H26" s="303">
        <f>'IS05'!D26</f>
        <v>14</v>
      </c>
      <c r="I26" s="303">
        <f>'IS06'!D26</f>
        <v>18.600000000000001</v>
      </c>
      <c r="J26" s="303">
        <f>'IS07'!D26</f>
        <v>29.1</v>
      </c>
      <c r="K26" s="303">
        <f>'IS08'!D26</f>
        <v>26.9</v>
      </c>
      <c r="L26" s="303">
        <f>'IS09'!D26</f>
        <v>26</v>
      </c>
      <c r="M26" s="303">
        <f>'IS10'!D26</f>
        <v>7.6</v>
      </c>
      <c r="N26" s="303">
        <f>'SS01'!AD26</f>
        <v>2948.6499999999996</v>
      </c>
      <c r="O26" s="304">
        <f t="shared" si="0"/>
        <v>3176.1399999999994</v>
      </c>
      <c r="P26" s="27"/>
      <c r="Q26" s="27"/>
    </row>
    <row r="27" spans="2:17" ht="15" customHeight="1" x14ac:dyDescent="0.2">
      <c r="B27" s="314" t="str">
        <f>'IS01'!B27</f>
        <v>Vzdrževanje</v>
      </c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6"/>
    </row>
    <row r="28" spans="2:17" ht="15" customHeight="1" x14ac:dyDescent="0.2">
      <c r="B28" s="317" t="str">
        <f>'IS01'!B28</f>
        <v>Specifična cena vzdrževanja naprav za samooskrbo</v>
      </c>
      <c r="C28" s="318" t="str">
        <f>'IS01'!C28</f>
        <v>EUR/kWp</v>
      </c>
      <c r="D28" s="319">
        <f>'IS01'!D28</f>
        <v>0</v>
      </c>
      <c r="E28" s="319">
        <f>'IS02'!D28</f>
        <v>0</v>
      </c>
      <c r="F28" s="319">
        <f>'IS03'!D28</f>
        <v>0</v>
      </c>
      <c r="G28" s="319">
        <f>'IS04'!D28</f>
        <v>0</v>
      </c>
      <c r="H28" s="319">
        <f>'IS05'!D28</f>
        <v>0</v>
      </c>
      <c r="I28" s="319">
        <f>'IS06'!D28</f>
        <v>0</v>
      </c>
      <c r="J28" s="319">
        <f>'IS07'!D28</f>
        <v>0</v>
      </c>
      <c r="K28" s="319">
        <f>'IS08'!D28</f>
        <v>0</v>
      </c>
      <c r="L28" s="319">
        <f>'IS09'!D28</f>
        <v>0</v>
      </c>
      <c r="M28" s="319">
        <f>'IS10'!D28</f>
        <v>0</v>
      </c>
      <c r="N28" s="319">
        <f>'SS01'!AD28</f>
        <v>0</v>
      </c>
      <c r="O28" s="320">
        <f>O29/O16</f>
        <v>0</v>
      </c>
    </row>
    <row r="29" spans="2:17" x14ac:dyDescent="0.2">
      <c r="B29" s="317" t="str">
        <f>'IS01'!B29</f>
        <v>Letni stroški vzdrževanja</v>
      </c>
      <c r="C29" s="318" t="str">
        <f>'IS01'!C29</f>
        <v>EUR/a</v>
      </c>
      <c r="D29" s="319">
        <f>'IS01'!D29</f>
        <v>0</v>
      </c>
      <c r="E29" s="319">
        <f>'IS02'!D29</f>
        <v>0</v>
      </c>
      <c r="F29" s="319">
        <f>'IS03'!D29</f>
        <v>0</v>
      </c>
      <c r="G29" s="319">
        <f>'IS04'!D29</f>
        <v>0</v>
      </c>
      <c r="H29" s="319">
        <f>'IS05'!D29</f>
        <v>0</v>
      </c>
      <c r="I29" s="319">
        <f>'IS06'!D29</f>
        <v>0</v>
      </c>
      <c r="J29" s="319">
        <f>'IS07'!D29</f>
        <v>0</v>
      </c>
      <c r="K29" s="319">
        <f>'IS08'!D29</f>
        <v>0</v>
      </c>
      <c r="L29" s="319">
        <f>'IS09'!D29</f>
        <v>0</v>
      </c>
      <c r="M29" s="319">
        <f>'IS10'!D29</f>
        <v>0</v>
      </c>
      <c r="N29" s="319">
        <f>'SS01'!AD29</f>
        <v>0</v>
      </c>
      <c r="O29" s="320">
        <f>SUM(D29:N29)</f>
        <v>0</v>
      </c>
    </row>
    <row r="30" spans="2:17" x14ac:dyDescent="0.2">
      <c r="B30" s="321" t="str">
        <f>'IS01'!B30</f>
        <v>Nova cena oskrbe z električno energijo</v>
      </c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3"/>
    </row>
    <row r="31" spans="2:17" x14ac:dyDescent="0.2">
      <c r="B31" s="324" t="str">
        <f>'IS01'!B31</f>
        <v>Nova zagotovljena cena električne energije</v>
      </c>
      <c r="C31" s="325" t="str">
        <f>'IS01'!C31</f>
        <v>EUR/MWh</v>
      </c>
      <c r="D31" s="319">
        <f>'IS01'!D31</f>
        <v>0</v>
      </c>
      <c r="E31" s="319">
        <f>'IS02'!D31</f>
        <v>0</v>
      </c>
      <c r="F31" s="319">
        <f>'IS03'!D31</f>
        <v>0</v>
      </c>
      <c r="G31" s="319">
        <f>'IS04'!D31</f>
        <v>0</v>
      </c>
      <c r="H31" s="319">
        <f>'IS05'!D31</f>
        <v>0</v>
      </c>
      <c r="I31" s="319">
        <f>'IS06'!D31</f>
        <v>0</v>
      </c>
      <c r="J31" s="319">
        <f>'IS07'!D31</f>
        <v>0</v>
      </c>
      <c r="K31" s="319">
        <f>'IS08'!D31</f>
        <v>0</v>
      </c>
      <c r="L31" s="319">
        <f>'IS09'!D31</f>
        <v>0</v>
      </c>
      <c r="M31" s="319">
        <f>'IS10'!D31</f>
        <v>0</v>
      </c>
      <c r="N31" s="319">
        <f>'SS01'!AD31</f>
        <v>0</v>
      </c>
      <c r="O31" s="320">
        <f>SUMPRODUCT(D10:N10,D31:N31)/O10</f>
        <v>0</v>
      </c>
    </row>
    <row r="32" spans="2:17" x14ac:dyDescent="0.2">
      <c r="B32" s="326" t="str">
        <f>'IS01'!B32</f>
        <v>Stroški električne energije javnega partnerja</v>
      </c>
      <c r="C32" s="327"/>
      <c r="D32" s="327"/>
      <c r="E32" s="327"/>
      <c r="F32" s="327"/>
      <c r="G32" s="327"/>
      <c r="H32" s="327"/>
      <c r="I32" s="327"/>
      <c r="J32" s="327"/>
      <c r="K32" s="327"/>
      <c r="L32" s="327"/>
      <c r="M32" s="327"/>
      <c r="N32" s="327"/>
      <c r="O32" s="328"/>
    </row>
    <row r="33" spans="2:17" x14ac:dyDescent="0.2">
      <c r="B33" s="329" t="str">
        <f>'IS01'!B33</f>
        <v>Referenčni stroški</v>
      </c>
      <c r="C33" s="330" t="str">
        <f>'IS01'!C33</f>
        <v>EUR/a</v>
      </c>
      <c r="D33" s="319">
        <f>'IS01'!D33</f>
        <v>0</v>
      </c>
      <c r="E33" s="319">
        <f>'IS02'!D33</f>
        <v>0</v>
      </c>
      <c r="F33" s="319">
        <f>'IS03'!D33</f>
        <v>0</v>
      </c>
      <c r="G33" s="319">
        <f>'IS04'!D33</f>
        <v>0</v>
      </c>
      <c r="H33" s="319">
        <f>'IS05'!D33</f>
        <v>0</v>
      </c>
      <c r="I33" s="319">
        <f>'IS06'!D33</f>
        <v>0</v>
      </c>
      <c r="J33" s="319">
        <f>'IS07'!D33</f>
        <v>0</v>
      </c>
      <c r="K33" s="319">
        <f>'IS08'!D33</f>
        <v>0</v>
      </c>
      <c r="L33" s="319">
        <f>'IS09'!D33</f>
        <v>0</v>
      </c>
      <c r="M33" s="319">
        <f>'IS10'!D33</f>
        <v>0</v>
      </c>
      <c r="N33" s="319">
        <f>'SS01'!AD33</f>
        <v>0</v>
      </c>
      <c r="O33" s="320">
        <f>SUM(D33:N33)</f>
        <v>0</v>
      </c>
    </row>
    <row r="34" spans="2:17" x14ac:dyDescent="0.2">
      <c r="B34" s="329" t="str">
        <f>'IS01'!B34</f>
        <v>Stroški v času trajanja pogodbe</v>
      </c>
      <c r="C34" s="330" t="str">
        <f>'IS01'!C34</f>
        <v>EUR/a</v>
      </c>
      <c r="D34" s="319">
        <f>'IS01'!D34</f>
        <v>0</v>
      </c>
      <c r="E34" s="319">
        <f>'IS02'!D34</f>
        <v>0</v>
      </c>
      <c r="F34" s="319">
        <f>'IS03'!D34</f>
        <v>0</v>
      </c>
      <c r="G34" s="319">
        <f>'IS04'!D34</f>
        <v>0</v>
      </c>
      <c r="H34" s="319">
        <f>'IS05'!D34</f>
        <v>0</v>
      </c>
      <c r="I34" s="319">
        <f>'IS06'!D34</f>
        <v>0</v>
      </c>
      <c r="J34" s="319">
        <f>'IS07'!D34</f>
        <v>0</v>
      </c>
      <c r="K34" s="319">
        <f>'IS08'!D34</f>
        <v>0</v>
      </c>
      <c r="L34" s="319">
        <f>'IS09'!D34</f>
        <v>0</v>
      </c>
      <c r="M34" s="319">
        <f>'IS10'!D34</f>
        <v>0</v>
      </c>
      <c r="N34" s="319">
        <f>'SS01'!AD34</f>
        <v>0</v>
      </c>
      <c r="O34" s="320">
        <f>SUM(D34:N34)</f>
        <v>0</v>
      </c>
    </row>
    <row r="35" spans="2:17" ht="15" customHeight="1" x14ac:dyDescent="0.2">
      <c r="B35" s="331" t="str">
        <f>'IS01'!B35</f>
        <v>Merila</v>
      </c>
      <c r="C35" s="332"/>
      <c r="D35" s="332"/>
      <c r="E35" s="332"/>
      <c r="F35" s="332"/>
      <c r="G35" s="332"/>
      <c r="H35" s="332"/>
      <c r="I35" s="332"/>
      <c r="J35" s="332"/>
      <c r="K35" s="332"/>
      <c r="L35" s="332"/>
      <c r="M35" s="332"/>
      <c r="N35" s="332"/>
      <c r="O35" s="333"/>
    </row>
    <row r="36" spans="2:17" ht="15" customHeight="1" x14ac:dyDescent="0.2">
      <c r="B36" s="334" t="str">
        <f>'IS01'!B36</f>
        <v>Prihranek primarne energije</v>
      </c>
      <c r="C36" s="335" t="str">
        <f>'IS01'!C36</f>
        <v>MWh/a</v>
      </c>
      <c r="D36" s="303">
        <f>'IS01'!D36</f>
        <v>0</v>
      </c>
      <c r="E36" s="303">
        <f>'IS02'!D36</f>
        <v>0</v>
      </c>
      <c r="F36" s="303">
        <f>'IS03'!D36</f>
        <v>0</v>
      </c>
      <c r="G36" s="303">
        <f>'IS04'!D36</f>
        <v>0</v>
      </c>
      <c r="H36" s="303">
        <f>'IS05'!D36</f>
        <v>0</v>
      </c>
      <c r="I36" s="303">
        <f>'IS06'!D36</f>
        <v>0</v>
      </c>
      <c r="J36" s="303">
        <f>'IS07'!D36</f>
        <v>0</v>
      </c>
      <c r="K36" s="303">
        <f>'IS08'!D36</f>
        <v>0</v>
      </c>
      <c r="L36" s="303">
        <f>'IS09'!D36</f>
        <v>0</v>
      </c>
      <c r="M36" s="303">
        <f>'IS10'!D36</f>
        <v>0</v>
      </c>
      <c r="N36" s="303">
        <f>'SS01'!AD36</f>
        <v>0</v>
      </c>
      <c r="O36" s="304">
        <f>SUM(D36:N36)</f>
        <v>0</v>
      </c>
    </row>
    <row r="37" spans="2:17" ht="15" customHeight="1" x14ac:dyDescent="0.2">
      <c r="B37" s="334" t="str">
        <f>'IS01'!B37</f>
        <v>Delež prihrankov primarne energije za koncedenta</v>
      </c>
      <c r="C37" s="335" t="str">
        <f>'IS01'!C37</f>
        <v>%</v>
      </c>
      <c r="D37" s="309" t="e">
        <f>'IS01'!D37</f>
        <v>#DIV/0!</v>
      </c>
      <c r="E37" s="309" t="e">
        <f>'IS02'!D37</f>
        <v>#DIV/0!</v>
      </c>
      <c r="F37" s="309" t="e">
        <f>'IS03'!D37</f>
        <v>#DIV/0!</v>
      </c>
      <c r="G37" s="309" t="e">
        <f>'IS04'!D37</f>
        <v>#DIV/0!</v>
      </c>
      <c r="H37" s="309" t="e">
        <f>'IS05'!D37</f>
        <v>#DIV/0!</v>
      </c>
      <c r="I37" s="309" t="e">
        <f>'IS06'!D37</f>
        <v>#DIV/0!</v>
      </c>
      <c r="J37" s="309" t="e">
        <f>'IS07'!D37</f>
        <v>#DIV/0!</v>
      </c>
      <c r="K37" s="309" t="e">
        <f>'IS08'!D37</f>
        <v>#DIV/0!</v>
      </c>
      <c r="L37" s="309" t="e">
        <f>'IS09'!D37</f>
        <v>#DIV/0!</v>
      </c>
      <c r="M37" s="309" t="e">
        <f>'IS10'!D37</f>
        <v>#DIV/0!</v>
      </c>
      <c r="N37" s="309">
        <f>'SS01'!AD37</f>
        <v>0</v>
      </c>
      <c r="O37" s="310">
        <f>IFERROR(O24/O23,0)</f>
        <v>0</v>
      </c>
    </row>
    <row r="38" spans="2:17" ht="15" customHeight="1" x14ac:dyDescent="0.2">
      <c r="B38" s="334" t="str">
        <f>'IS01'!B38</f>
        <v>Cena energije</v>
      </c>
      <c r="C38" s="335" t="str">
        <f>'IS01'!C38</f>
        <v>EUR/MWh</v>
      </c>
      <c r="D38" s="303">
        <f>'IS01'!D38</f>
        <v>0</v>
      </c>
      <c r="E38" s="303">
        <f>'IS02'!D38</f>
        <v>0</v>
      </c>
      <c r="F38" s="303">
        <f>'IS03'!D38</f>
        <v>0</v>
      </c>
      <c r="G38" s="303">
        <f>'IS04'!D38</f>
        <v>0</v>
      </c>
      <c r="H38" s="303">
        <f>'IS05'!D38</f>
        <v>0</v>
      </c>
      <c r="I38" s="303">
        <f>'IS06'!D38</f>
        <v>0</v>
      </c>
      <c r="J38" s="303">
        <f>'IS07'!D38</f>
        <v>0</v>
      </c>
      <c r="K38" s="303">
        <f>'IS08'!D38</f>
        <v>0</v>
      </c>
      <c r="L38" s="303">
        <f>'IS09'!D38</f>
        <v>0</v>
      </c>
      <c r="M38" s="303">
        <f>'IS10'!D38</f>
        <v>0</v>
      </c>
      <c r="N38" s="303">
        <f>'SS01'!AD38</f>
        <v>0</v>
      </c>
      <c r="O38" s="304">
        <f>O31</f>
        <v>0</v>
      </c>
    </row>
    <row r="39" spans="2:17" ht="15" customHeight="1" x14ac:dyDescent="0.2">
      <c r="B39" s="334" t="str">
        <f>'IS01'!B39</f>
        <v>Trajanje koncesijskega razmerja</v>
      </c>
      <c r="C39" s="335" t="str">
        <f>'IS01'!C39</f>
        <v>a</v>
      </c>
      <c r="D39" s="336">
        <f>'IS01'!D39</f>
        <v>10</v>
      </c>
      <c r="E39" s="336">
        <f>'IS02'!D39</f>
        <v>10</v>
      </c>
      <c r="F39" s="336">
        <f>'IS03'!D39</f>
        <v>10</v>
      </c>
      <c r="G39" s="336">
        <f>'IS04'!D39</f>
        <v>10</v>
      </c>
      <c r="H39" s="336">
        <f>'IS05'!D39</f>
        <v>10</v>
      </c>
      <c r="I39" s="336">
        <f>'IS06'!D39</f>
        <v>10</v>
      </c>
      <c r="J39" s="336">
        <f>'IS07'!D39</f>
        <v>10</v>
      </c>
      <c r="K39" s="336">
        <f>'IS08'!D39</f>
        <v>10</v>
      </c>
      <c r="L39" s="336">
        <f>'IS09'!D39</f>
        <v>10</v>
      </c>
      <c r="M39" s="336">
        <f>'IS10'!D39</f>
        <v>10</v>
      </c>
      <c r="N39" s="336">
        <f>'SS01'!AD39</f>
        <v>10</v>
      </c>
      <c r="O39" s="337">
        <f>J60</f>
        <v>10</v>
      </c>
    </row>
    <row r="40" spans="2:17" ht="15" customHeight="1" x14ac:dyDescent="0.2">
      <c r="B40" s="334" t="str">
        <f>'IS01'!B40</f>
        <v>Višina investicije javnega partnerja</v>
      </c>
      <c r="C40" s="335" t="str">
        <f>'IS01'!C40</f>
        <v>EUR</v>
      </c>
      <c r="D40" s="338">
        <f>'IS01'!D40</f>
        <v>-8821.1200000000008</v>
      </c>
      <c r="E40" s="338">
        <f>'IS02'!D40</f>
        <v>-4883.12</v>
      </c>
      <c r="F40" s="338">
        <f>'IS03'!D40</f>
        <v>-16067.04</v>
      </c>
      <c r="G40" s="338">
        <f>'IS04'!D40</f>
        <v>-4568.08</v>
      </c>
      <c r="H40" s="338">
        <f>'IS05'!D40</f>
        <v>-4883.12</v>
      </c>
      <c r="I40" s="338">
        <f>'IS06'!D40</f>
        <v>-6615.84</v>
      </c>
      <c r="J40" s="338">
        <f>'IS07'!D40</f>
        <v>-10396.32</v>
      </c>
      <c r="K40" s="338">
        <f>'IS08'!D40</f>
        <v>-9136.16</v>
      </c>
      <c r="L40" s="338">
        <f>'IS09'!D40</f>
        <v>-9136.16</v>
      </c>
      <c r="M40" s="338">
        <f>'IS10'!D40</f>
        <v>-2520.3200000000002</v>
      </c>
      <c r="N40" s="338">
        <f>'SS01'!AD40</f>
        <v>-758215.35999999987</v>
      </c>
      <c r="O40" s="320">
        <f>SUM(D40:N40)</f>
        <v>-835242.6399999999</v>
      </c>
      <c r="Q40" s="339"/>
    </row>
    <row r="42" spans="2:17" x14ac:dyDescent="0.2">
      <c r="D42" s="339"/>
      <c r="E42" s="339"/>
      <c r="F42" s="339"/>
      <c r="G42" s="339"/>
      <c r="H42" s="339"/>
      <c r="I42" s="339"/>
      <c r="J42" s="339"/>
      <c r="K42" s="339"/>
      <c r="L42" s="339"/>
      <c r="M42" s="339"/>
      <c r="N42" s="339"/>
      <c r="O42" s="339"/>
    </row>
    <row r="43" spans="2:17" x14ac:dyDescent="0.2">
      <c r="D43" s="339"/>
      <c r="E43" s="339"/>
      <c r="F43" s="339"/>
      <c r="G43" s="339"/>
      <c r="H43" s="339"/>
      <c r="I43" s="339"/>
      <c r="J43" s="339"/>
      <c r="K43" s="339"/>
      <c r="L43" s="339"/>
      <c r="M43" s="339"/>
      <c r="N43" s="339"/>
      <c r="O43" s="339"/>
    </row>
    <row r="44" spans="2:17" x14ac:dyDescent="0.2">
      <c r="D44" s="339"/>
      <c r="E44" s="339"/>
      <c r="F44" s="339"/>
      <c r="G44" s="339"/>
      <c r="H44" s="339"/>
      <c r="I44" s="339"/>
      <c r="J44" s="339"/>
      <c r="K44" s="339"/>
      <c r="L44" s="339"/>
      <c r="M44" s="339"/>
      <c r="N44" s="339"/>
      <c r="O44" s="339"/>
    </row>
    <row r="45" spans="2:17" x14ac:dyDescent="0.2">
      <c r="D45" s="339"/>
      <c r="E45" s="339"/>
      <c r="F45" s="339"/>
      <c r="G45" s="339"/>
      <c r="H45" s="339"/>
      <c r="I45" s="339"/>
      <c r="J45" s="339"/>
      <c r="K45" s="339"/>
      <c r="L45" s="339"/>
      <c r="M45" s="339"/>
      <c r="N45" s="339"/>
      <c r="O45" s="339"/>
    </row>
    <row r="46" spans="2:17" x14ac:dyDescent="0.2"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</row>
    <row r="47" spans="2:17" x14ac:dyDescent="0.2">
      <c r="D47" s="339"/>
      <c r="E47" s="339"/>
      <c r="F47" s="339"/>
      <c r="G47" s="339"/>
      <c r="H47" s="339"/>
      <c r="I47" s="339"/>
      <c r="J47" s="339"/>
      <c r="K47" s="339"/>
      <c r="L47" s="339"/>
      <c r="M47" s="339"/>
      <c r="N47" s="339"/>
      <c r="O47" s="339"/>
    </row>
    <row r="48" spans="2:17" x14ac:dyDescent="0.2">
      <c r="D48" s="339"/>
      <c r="E48" s="339"/>
      <c r="F48" s="339"/>
      <c r="G48" s="339"/>
      <c r="H48" s="339"/>
      <c r="I48" s="339"/>
      <c r="J48" s="339"/>
      <c r="K48" s="339"/>
      <c r="L48" s="339"/>
      <c r="M48" s="339"/>
      <c r="N48" s="339"/>
      <c r="O48" s="339"/>
    </row>
    <row r="49" spans="1:25" x14ac:dyDescent="0.2">
      <c r="D49" s="339"/>
      <c r="E49" s="339"/>
      <c r="F49" s="339"/>
      <c r="G49" s="339"/>
      <c r="H49" s="339"/>
      <c r="I49" s="339"/>
      <c r="J49" s="339"/>
      <c r="K49" s="339"/>
      <c r="L49" s="339"/>
      <c r="M49" s="339"/>
      <c r="N49" s="339"/>
      <c r="O49" s="339"/>
    </row>
    <row r="50" spans="1:25" x14ac:dyDescent="0.2">
      <c r="D50" s="339"/>
      <c r="E50" s="339"/>
      <c r="F50" s="339"/>
      <c r="G50" s="339"/>
      <c r="H50" s="339"/>
      <c r="I50" s="339"/>
      <c r="J50" s="339"/>
      <c r="K50" s="339"/>
      <c r="L50" s="339"/>
      <c r="M50" s="339"/>
      <c r="N50" s="339"/>
      <c r="O50" s="339"/>
    </row>
    <row r="51" spans="1:25" x14ac:dyDescent="0.2">
      <c r="D51" s="339"/>
      <c r="E51" s="339"/>
      <c r="F51" s="339"/>
      <c r="G51" s="339"/>
      <c r="H51" s="339"/>
      <c r="I51" s="339"/>
      <c r="J51" s="339"/>
      <c r="K51" s="339"/>
      <c r="L51" s="339"/>
      <c r="M51" s="339"/>
      <c r="N51" s="339"/>
      <c r="O51" s="339"/>
    </row>
    <row r="52" spans="1:25" x14ac:dyDescent="0.2">
      <c r="D52" s="339"/>
      <c r="E52" s="339"/>
      <c r="F52" s="339"/>
      <c r="G52" s="339"/>
      <c r="H52" s="339"/>
      <c r="I52" s="339"/>
      <c r="J52" s="339"/>
      <c r="K52" s="339"/>
      <c r="L52" s="339"/>
      <c r="M52" s="339"/>
      <c r="N52" s="339"/>
      <c r="O52" s="339"/>
    </row>
    <row r="53" spans="1:25" ht="13.5" thickBot="1" x14ac:dyDescent="0.25">
      <c r="D53" s="339"/>
      <c r="E53" s="339"/>
      <c r="F53" s="339"/>
      <c r="G53" s="339"/>
      <c r="H53" s="339"/>
      <c r="I53" s="339"/>
      <c r="J53" s="339"/>
      <c r="K53" s="339"/>
      <c r="L53" s="339"/>
      <c r="M53" s="339"/>
      <c r="N53" s="339"/>
      <c r="O53" s="339"/>
    </row>
    <row r="54" spans="1:25" s="27" customFormat="1" ht="17.100000000000001" customHeight="1" x14ac:dyDescent="0.2">
      <c r="B54" s="217" t="s">
        <v>43</v>
      </c>
      <c r="C54" s="218"/>
      <c r="D54" s="218"/>
      <c r="E54" s="219" t="s">
        <v>217</v>
      </c>
      <c r="F54" s="219" t="s">
        <v>201</v>
      </c>
      <c r="G54" s="220" t="s">
        <v>24</v>
      </c>
      <c r="N54" s="221"/>
      <c r="O54" s="221"/>
      <c r="P54" s="10"/>
      <c r="Y54" s="222"/>
    </row>
    <row r="55" spans="1:25" s="27" customFormat="1" ht="17.100000000000001" customHeight="1" x14ac:dyDescent="0.25">
      <c r="A55"/>
      <c r="B55" s="223" t="s">
        <v>78</v>
      </c>
      <c r="C55" s="224"/>
      <c r="D55" s="225" t="s">
        <v>61</v>
      </c>
      <c r="E55" s="92">
        <f>O24*O12+O25*O14-O29</f>
        <v>0</v>
      </c>
      <c r="F55" s="92">
        <f>O33-O34</f>
        <v>0</v>
      </c>
      <c r="G55" s="56">
        <f>O31*O10-(O26*O12-O25*O14)-O16*O28</f>
        <v>0</v>
      </c>
      <c r="H55" s="154"/>
      <c r="N55" s="221"/>
      <c r="O55" s="221"/>
      <c r="P55" s="10"/>
      <c r="Y55" s="222"/>
    </row>
    <row r="56" spans="1:25" s="27" customFormat="1" ht="14.1" customHeight="1" x14ac:dyDescent="0.25">
      <c r="A56"/>
      <c r="B56" s="226" t="s">
        <v>44</v>
      </c>
      <c r="C56" s="227"/>
      <c r="D56" s="225" t="s">
        <v>28</v>
      </c>
      <c r="E56" s="92">
        <f>D78</f>
        <v>0</v>
      </c>
      <c r="F56" s="92" t="e">
        <f>$F$55/$E$55*E56</f>
        <v>#DIV/0!</v>
      </c>
      <c r="G56" s="56" t="e">
        <f>$G$55/$E$55*E56</f>
        <v>#DIV/0!</v>
      </c>
      <c r="H56" s="154"/>
      <c r="N56" s="221"/>
      <c r="O56" s="221"/>
      <c r="P56" s="10"/>
      <c r="Y56" s="222"/>
    </row>
    <row r="57" spans="1:25" s="27" customFormat="1" ht="17.100000000000001" customHeight="1" x14ac:dyDescent="0.25">
      <c r="A57"/>
      <c r="B57" s="226" t="s">
        <v>45</v>
      </c>
      <c r="C57" s="227"/>
      <c r="D57" s="225" t="s">
        <v>28</v>
      </c>
      <c r="E57" s="92">
        <f>M91</f>
        <v>0</v>
      </c>
      <c r="F57" s="92" t="e">
        <f>$F$55/$E$55*E57</f>
        <v>#DIV/0!</v>
      </c>
      <c r="G57" s="56" t="e">
        <f>$G$55/$E$55*E57</f>
        <v>#DIV/0!</v>
      </c>
      <c r="H57" s="154"/>
      <c r="N57" s="221"/>
      <c r="O57" s="221"/>
      <c r="P57" s="10"/>
      <c r="Y57" s="222"/>
    </row>
    <row r="58" spans="1:25" s="27" customFormat="1" ht="17.100000000000001" customHeight="1" thickBot="1" x14ac:dyDescent="0.3">
      <c r="A58"/>
      <c r="B58" s="228" t="s">
        <v>80</v>
      </c>
      <c r="C58" s="229"/>
      <c r="D58" s="230" t="s">
        <v>28</v>
      </c>
      <c r="E58" s="93">
        <f>O17-O18</f>
        <v>-835242.6399999999</v>
      </c>
      <c r="F58" s="93">
        <f>O20</f>
        <v>-835242.6399999999</v>
      </c>
      <c r="G58" s="94">
        <f>O21</f>
        <v>0</v>
      </c>
      <c r="H58" s="154"/>
      <c r="N58" s="221"/>
      <c r="O58" s="221"/>
      <c r="P58" s="10"/>
      <c r="Y58" s="222"/>
    </row>
    <row r="59" spans="1:25" s="27" customFormat="1" ht="30.75" thickBot="1" x14ac:dyDescent="0.3">
      <c r="A59"/>
      <c r="B59"/>
      <c r="C59"/>
      <c r="D59"/>
      <c r="E59"/>
      <c r="J59" s="231" t="s">
        <v>41</v>
      </c>
      <c r="K59" s="24" t="s">
        <v>42</v>
      </c>
      <c r="L59" s="25"/>
      <c r="M59" s="26"/>
      <c r="N59" s="221"/>
      <c r="O59" s="221"/>
      <c r="P59" s="10"/>
      <c r="Y59" s="222"/>
    </row>
    <row r="60" spans="1:25" s="27" customFormat="1" ht="17.100000000000001" customHeight="1" thickBot="1" x14ac:dyDescent="0.3">
      <c r="A60"/>
      <c r="B60" s="55" t="s">
        <v>34</v>
      </c>
      <c r="E60"/>
      <c r="I60" s="340"/>
      <c r="J60" s="54">
        <f>'IS01'!J60</f>
        <v>10</v>
      </c>
      <c r="K60" s="21" t="s">
        <v>36</v>
      </c>
      <c r="L60" s="22" t="s">
        <v>37</v>
      </c>
      <c r="M60" s="23" t="s">
        <v>38</v>
      </c>
      <c r="N60" s="10"/>
      <c r="O60" s="10"/>
      <c r="P60" s="10"/>
      <c r="Y60" s="216"/>
    </row>
    <row r="61" spans="1:25" s="27" customFormat="1" ht="15.75" customHeight="1" x14ac:dyDescent="0.25">
      <c r="A61"/>
      <c r="B61" s="13" t="s">
        <v>35</v>
      </c>
      <c r="C61" s="14"/>
      <c r="D61" s="15"/>
      <c r="E61"/>
      <c r="I61" s="340"/>
      <c r="K61" s="232">
        <f>IF($J$60&gt;0, 1, "")</f>
        <v>1</v>
      </c>
      <c r="L61" s="233">
        <f t="shared" ref="L61:L90" si="1">IF($J$60&gt;=K61,$E$55, "")</f>
        <v>0</v>
      </c>
      <c r="M61" s="57">
        <f t="shared" ref="M61:M90" si="2">IF($J$60&gt;=K61,L61/((1+$M$93)^K61), "0")</f>
        <v>0</v>
      </c>
      <c r="O61" s="10"/>
      <c r="P61" s="10"/>
      <c r="Y61" s="216"/>
    </row>
    <row r="62" spans="1:25" s="27" customFormat="1" ht="15.75" customHeight="1" x14ac:dyDescent="0.25">
      <c r="A62"/>
      <c r="B62" s="2" t="s">
        <v>36</v>
      </c>
      <c r="C62" s="3" t="s">
        <v>37</v>
      </c>
      <c r="D62" s="4" t="s">
        <v>38</v>
      </c>
      <c r="E62"/>
      <c r="I62" s="340"/>
      <c r="K62" s="234">
        <f>IF($J$60&gt;K61, 2, "")</f>
        <v>2</v>
      </c>
      <c r="L62" s="235">
        <f t="shared" si="1"/>
        <v>0</v>
      </c>
      <c r="M62" s="58">
        <f t="shared" si="2"/>
        <v>0</v>
      </c>
      <c r="N62" s="10"/>
      <c r="O62" s="10"/>
      <c r="P62" s="10"/>
      <c r="Y62" s="216"/>
    </row>
    <row r="63" spans="1:25" s="27" customFormat="1" ht="15.75" customHeight="1" x14ac:dyDescent="0.25">
      <c r="A63"/>
      <c r="B63" s="31">
        <v>1</v>
      </c>
      <c r="C63" s="47">
        <f>$E$55</f>
        <v>0</v>
      </c>
      <c r="D63" s="48">
        <f t="shared" ref="D63:D77" si="3">C63/((1+$D$80)^B63)</f>
        <v>0</v>
      </c>
      <c r="E63" s="162"/>
      <c r="G63" s="341"/>
      <c r="I63" s="340"/>
      <c r="K63" s="234">
        <f>IF($J$60&gt;K62,3, "")</f>
        <v>3</v>
      </c>
      <c r="L63" s="235">
        <f t="shared" si="1"/>
        <v>0</v>
      </c>
      <c r="M63" s="58">
        <f t="shared" si="2"/>
        <v>0</v>
      </c>
      <c r="N63" s="236"/>
      <c r="O63" s="236"/>
      <c r="P63" s="10"/>
      <c r="Y63" s="237"/>
    </row>
    <row r="64" spans="1:25" s="27" customFormat="1" ht="15.75" customHeight="1" x14ac:dyDescent="0.2">
      <c r="B64" s="31">
        <v>2</v>
      </c>
      <c r="C64" s="47">
        <f>$E$55</f>
        <v>0</v>
      </c>
      <c r="D64" s="48">
        <f t="shared" si="3"/>
        <v>0</v>
      </c>
      <c r="E64" s="247"/>
      <c r="G64" s="342"/>
      <c r="I64" s="340"/>
      <c r="K64" s="234">
        <f>IF($J$60&gt;K63, 4, "")</f>
        <v>4</v>
      </c>
      <c r="L64" s="235">
        <f t="shared" si="1"/>
        <v>0</v>
      </c>
      <c r="M64" s="58">
        <f t="shared" si="2"/>
        <v>0</v>
      </c>
      <c r="N64" s="10"/>
      <c r="O64" s="10"/>
      <c r="P64" s="10"/>
    </row>
    <row r="65" spans="2:19" s="27" customFormat="1" ht="15.75" customHeight="1" x14ac:dyDescent="0.2">
      <c r="B65" s="31">
        <v>3</v>
      </c>
      <c r="C65" s="47">
        <f t="shared" ref="C65:C77" si="4">$E$55</f>
        <v>0</v>
      </c>
      <c r="D65" s="48">
        <f t="shared" si="3"/>
        <v>0</v>
      </c>
      <c r="E65" s="247"/>
      <c r="I65" s="340"/>
      <c r="K65" s="234">
        <f>IF($J$60&gt;K64, 5, "")</f>
        <v>5</v>
      </c>
      <c r="L65" s="235">
        <f t="shared" si="1"/>
        <v>0</v>
      </c>
      <c r="M65" s="58">
        <f t="shared" si="2"/>
        <v>0</v>
      </c>
      <c r="N65" s="351"/>
      <c r="O65" s="351"/>
      <c r="P65" s="351"/>
    </row>
    <row r="66" spans="2:19" s="27" customFormat="1" ht="15.75" customHeight="1" x14ac:dyDescent="0.2">
      <c r="B66" s="31">
        <v>4</v>
      </c>
      <c r="C66" s="47">
        <f t="shared" si="4"/>
        <v>0</v>
      </c>
      <c r="D66" s="48">
        <f t="shared" si="3"/>
        <v>0</v>
      </c>
      <c r="E66" s="247"/>
      <c r="G66" s="59"/>
      <c r="I66" s="340"/>
      <c r="K66" s="234">
        <f>IF($J$60&gt;K65, 6, "")</f>
        <v>6</v>
      </c>
      <c r="L66" s="235">
        <f t="shared" si="1"/>
        <v>0</v>
      </c>
      <c r="M66" s="58">
        <f t="shared" si="2"/>
        <v>0</v>
      </c>
      <c r="N66" s="10"/>
      <c r="O66" s="10"/>
      <c r="P66" s="10"/>
    </row>
    <row r="67" spans="2:19" s="27" customFormat="1" ht="15.75" customHeight="1" x14ac:dyDescent="0.2">
      <c r="B67" s="31">
        <v>5</v>
      </c>
      <c r="C67" s="47">
        <f t="shared" si="4"/>
        <v>0</v>
      </c>
      <c r="D67" s="48">
        <f t="shared" si="3"/>
        <v>0</v>
      </c>
      <c r="E67" s="247"/>
      <c r="I67" s="340"/>
      <c r="K67" s="234">
        <f>IF($J$60&gt;K66, 7, "")</f>
        <v>7</v>
      </c>
      <c r="L67" s="235">
        <f t="shared" si="1"/>
        <v>0</v>
      </c>
      <c r="M67" s="58">
        <f t="shared" si="2"/>
        <v>0</v>
      </c>
      <c r="N67" s="10"/>
      <c r="O67" s="10"/>
      <c r="P67" s="10"/>
    </row>
    <row r="68" spans="2:19" s="27" customFormat="1" ht="15.75" customHeight="1" x14ac:dyDescent="0.2">
      <c r="B68" s="31">
        <v>6</v>
      </c>
      <c r="C68" s="47">
        <f t="shared" si="4"/>
        <v>0</v>
      </c>
      <c r="D68" s="48">
        <f t="shared" si="3"/>
        <v>0</v>
      </c>
      <c r="E68" s="247"/>
      <c r="I68" s="340"/>
      <c r="K68" s="234">
        <f>IF($J$60&gt;K67, 8, "")</f>
        <v>8</v>
      </c>
      <c r="L68" s="235">
        <f t="shared" si="1"/>
        <v>0</v>
      </c>
      <c r="M68" s="58">
        <f t="shared" si="2"/>
        <v>0</v>
      </c>
      <c r="N68" s="10"/>
      <c r="O68" s="10"/>
      <c r="P68" s="10"/>
      <c r="Q68" s="10"/>
      <c r="R68" s="10"/>
      <c r="S68" s="10"/>
    </row>
    <row r="69" spans="2:19" s="27" customFormat="1" ht="15.75" customHeight="1" x14ac:dyDescent="0.2">
      <c r="B69" s="31">
        <v>7</v>
      </c>
      <c r="C69" s="47">
        <f t="shared" si="4"/>
        <v>0</v>
      </c>
      <c r="D69" s="48">
        <f t="shared" si="3"/>
        <v>0</v>
      </c>
      <c r="E69" s="247"/>
      <c r="I69" s="340"/>
      <c r="K69" s="234">
        <f>IF($J$60&gt;K68, 9, "")</f>
        <v>9</v>
      </c>
      <c r="L69" s="235">
        <f t="shared" si="1"/>
        <v>0</v>
      </c>
      <c r="M69" s="58">
        <f t="shared" si="2"/>
        <v>0</v>
      </c>
      <c r="N69" s="10"/>
      <c r="O69" s="10"/>
      <c r="P69" s="10"/>
      <c r="Q69" s="10"/>
      <c r="R69" s="10"/>
      <c r="S69" s="10"/>
    </row>
    <row r="70" spans="2:19" s="27" customFormat="1" ht="15.75" customHeight="1" x14ac:dyDescent="0.2">
      <c r="B70" s="31">
        <v>8</v>
      </c>
      <c r="C70" s="47">
        <f t="shared" si="4"/>
        <v>0</v>
      </c>
      <c r="D70" s="48">
        <f t="shared" si="3"/>
        <v>0</v>
      </c>
      <c r="E70" s="247"/>
      <c r="I70" s="340"/>
      <c r="K70" s="234">
        <f>IF($J$60&gt;K69, 10, "")</f>
        <v>10</v>
      </c>
      <c r="L70" s="235">
        <f t="shared" si="1"/>
        <v>0</v>
      </c>
      <c r="M70" s="58">
        <f t="shared" si="2"/>
        <v>0</v>
      </c>
      <c r="N70" s="10"/>
      <c r="O70" s="10"/>
      <c r="P70" s="10"/>
    </row>
    <row r="71" spans="2:19" s="27" customFormat="1" ht="15.75" customHeight="1" x14ac:dyDescent="0.2">
      <c r="B71" s="31">
        <v>9</v>
      </c>
      <c r="C71" s="47">
        <f t="shared" si="4"/>
        <v>0</v>
      </c>
      <c r="D71" s="48">
        <f t="shared" si="3"/>
        <v>0</v>
      </c>
      <c r="E71" s="247"/>
      <c r="I71" s="340"/>
      <c r="K71" s="234" t="str">
        <f>IF($J$60&gt;K70, 11, "")</f>
        <v/>
      </c>
      <c r="L71" s="235" t="str">
        <f t="shared" si="1"/>
        <v/>
      </c>
      <c r="M71" s="58" t="str">
        <f t="shared" si="2"/>
        <v>0</v>
      </c>
      <c r="N71" s="10"/>
      <c r="O71" s="10"/>
      <c r="P71" s="10"/>
    </row>
    <row r="72" spans="2:19" s="27" customFormat="1" ht="15.75" customHeight="1" x14ac:dyDescent="0.2">
      <c r="B72" s="31">
        <v>10</v>
      </c>
      <c r="C72" s="47">
        <f t="shared" si="4"/>
        <v>0</v>
      </c>
      <c r="D72" s="48">
        <f t="shared" si="3"/>
        <v>0</v>
      </c>
      <c r="E72" s="247"/>
      <c r="I72" s="340"/>
      <c r="K72" s="234" t="str">
        <f>IF($J$60&gt;K71, 12, "")</f>
        <v/>
      </c>
      <c r="L72" s="235" t="str">
        <f t="shared" si="1"/>
        <v/>
      </c>
      <c r="M72" s="58" t="str">
        <f t="shared" si="2"/>
        <v>0</v>
      </c>
      <c r="N72" s="10"/>
      <c r="O72" s="10"/>
      <c r="P72" s="10"/>
    </row>
    <row r="73" spans="2:19" s="27" customFormat="1" ht="15.75" customHeight="1" x14ac:dyDescent="0.2">
      <c r="B73" s="31">
        <v>11</v>
      </c>
      <c r="C73" s="47">
        <f t="shared" si="4"/>
        <v>0</v>
      </c>
      <c r="D73" s="48">
        <f t="shared" si="3"/>
        <v>0</v>
      </c>
      <c r="E73" s="247"/>
      <c r="I73" s="340"/>
      <c r="K73" s="234" t="str">
        <f>IF($J$60&gt;K72, 13, "")</f>
        <v/>
      </c>
      <c r="L73" s="235" t="str">
        <f t="shared" si="1"/>
        <v/>
      </c>
      <c r="M73" s="58" t="str">
        <f t="shared" si="2"/>
        <v>0</v>
      </c>
      <c r="N73" s="10"/>
      <c r="O73" s="10"/>
      <c r="P73" s="10"/>
    </row>
    <row r="74" spans="2:19" s="27" customFormat="1" ht="15.75" customHeight="1" x14ac:dyDescent="0.2">
      <c r="B74" s="31">
        <v>12</v>
      </c>
      <c r="C74" s="47">
        <f t="shared" si="4"/>
        <v>0</v>
      </c>
      <c r="D74" s="48">
        <f t="shared" si="3"/>
        <v>0</v>
      </c>
      <c r="E74" s="247"/>
      <c r="I74" s="340"/>
      <c r="K74" s="234" t="str">
        <f>IF($J$60&gt;K73, 14, "")</f>
        <v/>
      </c>
      <c r="L74" s="235" t="str">
        <f t="shared" si="1"/>
        <v/>
      </c>
      <c r="M74" s="58" t="str">
        <f t="shared" si="2"/>
        <v>0</v>
      </c>
      <c r="N74" s="10"/>
      <c r="O74" s="10"/>
      <c r="P74" s="10"/>
    </row>
    <row r="75" spans="2:19" s="27" customFormat="1" ht="15.75" customHeight="1" x14ac:dyDescent="0.2">
      <c r="B75" s="31">
        <v>13</v>
      </c>
      <c r="C75" s="47">
        <f t="shared" si="4"/>
        <v>0</v>
      </c>
      <c r="D75" s="48">
        <f t="shared" si="3"/>
        <v>0</v>
      </c>
      <c r="E75" s="247"/>
      <c r="I75" s="340"/>
      <c r="K75" s="234" t="str">
        <f>IF($J$60&gt;K74, 15, "")</f>
        <v/>
      </c>
      <c r="L75" s="235" t="str">
        <f t="shared" si="1"/>
        <v/>
      </c>
      <c r="M75" s="58" t="str">
        <f t="shared" si="2"/>
        <v>0</v>
      </c>
      <c r="N75" s="10"/>
      <c r="O75" s="10"/>
      <c r="P75" s="10"/>
    </row>
    <row r="76" spans="2:19" s="27" customFormat="1" ht="15.75" customHeight="1" x14ac:dyDescent="0.25">
      <c r="B76" s="31">
        <v>14</v>
      </c>
      <c r="C76" s="47">
        <f t="shared" si="4"/>
        <v>0</v>
      </c>
      <c r="D76" s="48">
        <f t="shared" si="3"/>
        <v>0</v>
      </c>
      <c r="E76" s="247"/>
      <c r="G76"/>
      <c r="I76" s="340"/>
      <c r="K76" s="234" t="str">
        <f>IF($J$60&gt;K75, 16, "")</f>
        <v/>
      </c>
      <c r="L76" s="235" t="str">
        <f t="shared" si="1"/>
        <v/>
      </c>
      <c r="M76" s="58" t="str">
        <f t="shared" si="2"/>
        <v>0</v>
      </c>
      <c r="N76" s="10"/>
      <c r="O76" s="10"/>
      <c r="P76" s="10"/>
    </row>
    <row r="77" spans="2:19" s="27" customFormat="1" ht="15.75" customHeight="1" x14ac:dyDescent="0.25">
      <c r="B77" s="31">
        <v>15</v>
      </c>
      <c r="C77" s="47">
        <f t="shared" si="4"/>
        <v>0</v>
      </c>
      <c r="D77" s="48">
        <f t="shared" si="3"/>
        <v>0</v>
      </c>
      <c r="E77" s="247"/>
      <c r="G77"/>
      <c r="I77" s="340"/>
      <c r="K77" s="234" t="str">
        <f>IF($J$60&gt;K76, 17, "")</f>
        <v/>
      </c>
      <c r="L77" s="235" t="str">
        <f t="shared" si="1"/>
        <v/>
      </c>
      <c r="M77" s="58" t="str">
        <f t="shared" si="2"/>
        <v>0</v>
      </c>
      <c r="N77" s="10"/>
      <c r="O77" s="10"/>
      <c r="P77" s="10"/>
    </row>
    <row r="78" spans="2:19" s="27" customFormat="1" ht="15.75" customHeight="1" thickBot="1" x14ac:dyDescent="0.3">
      <c r="B78" s="12" t="s">
        <v>39</v>
      </c>
      <c r="C78" s="51">
        <f>SUM(C63:C77)</f>
        <v>0</v>
      </c>
      <c r="D78" s="52">
        <f>SUM(D63:D77)</f>
        <v>0</v>
      </c>
      <c r="E78" s="162"/>
      <c r="F78" s="238"/>
      <c r="G78" s="238"/>
      <c r="I78" s="340"/>
      <c r="K78" s="234" t="str">
        <f>IF($J$60&gt;K77, 18, "")</f>
        <v/>
      </c>
      <c r="L78" s="235" t="str">
        <f t="shared" si="1"/>
        <v/>
      </c>
      <c r="M78" s="58" t="str">
        <f t="shared" si="2"/>
        <v>0</v>
      </c>
      <c r="N78" s="10"/>
      <c r="O78" s="10"/>
      <c r="P78" s="10"/>
    </row>
    <row r="79" spans="2:19" s="27" customFormat="1" ht="15.75" customHeight="1" x14ac:dyDescent="0.25">
      <c r="B79" s="239"/>
      <c r="C79" s="240"/>
      <c r="D79" s="241"/>
      <c r="E79"/>
      <c r="F79"/>
      <c r="G79"/>
      <c r="I79" s="340"/>
      <c r="K79" s="234" t="str">
        <f>IF($J$60&gt;K78, 19, "")</f>
        <v/>
      </c>
      <c r="L79" s="235" t="str">
        <f t="shared" si="1"/>
        <v/>
      </c>
      <c r="M79" s="58" t="str">
        <f t="shared" si="2"/>
        <v>0</v>
      </c>
      <c r="N79" s="10"/>
      <c r="O79" s="10"/>
      <c r="P79" s="10"/>
    </row>
    <row r="80" spans="2:19" s="27" customFormat="1" ht="15.75" customHeight="1" thickBot="1" x14ac:dyDescent="0.3">
      <c r="B80" s="242" t="s">
        <v>40</v>
      </c>
      <c r="C80" s="243"/>
      <c r="D80" s="60">
        <v>0.04</v>
      </c>
      <c r="E80"/>
      <c r="F80"/>
      <c r="G80" s="238"/>
      <c r="I80" s="340"/>
      <c r="K80" s="234" t="str">
        <f>IF($J$60&gt;K79, 20, "")</f>
        <v/>
      </c>
      <c r="L80" s="235" t="str">
        <f t="shared" si="1"/>
        <v/>
      </c>
      <c r="M80" s="58" t="str">
        <f t="shared" si="2"/>
        <v>0</v>
      </c>
      <c r="N80" s="10"/>
      <c r="O80" s="10"/>
      <c r="P80" s="10"/>
      <c r="Q80" s="10"/>
      <c r="R80" s="10"/>
      <c r="S80" s="10"/>
    </row>
    <row r="81" spans="1:19" s="27" customFormat="1" ht="15.75" customHeight="1" x14ac:dyDescent="0.25">
      <c r="B81"/>
      <c r="C81"/>
      <c r="D81"/>
      <c r="E81"/>
      <c r="F81"/>
      <c r="G81"/>
      <c r="I81" s="340"/>
      <c r="K81" s="234" t="str">
        <f>IF($J$60&gt;K80, 21, "")</f>
        <v/>
      </c>
      <c r="L81" s="235" t="str">
        <f t="shared" si="1"/>
        <v/>
      </c>
      <c r="M81" s="58" t="str">
        <f t="shared" si="2"/>
        <v>0</v>
      </c>
      <c r="N81" s="10"/>
      <c r="O81" s="10"/>
      <c r="P81" s="10"/>
      <c r="Q81" s="10"/>
      <c r="R81" s="10"/>
      <c r="S81" s="10"/>
    </row>
    <row r="82" spans="1:19" s="27" customFormat="1" ht="15.75" customHeight="1" x14ac:dyDescent="0.25">
      <c r="B82"/>
      <c r="C82"/>
      <c r="D82"/>
      <c r="E82"/>
      <c r="F82"/>
      <c r="G82"/>
      <c r="I82" s="340"/>
      <c r="K82" s="234" t="str">
        <f>IF($J$60&gt;K81, 22, "")</f>
        <v/>
      </c>
      <c r="L82" s="235" t="str">
        <f t="shared" si="1"/>
        <v/>
      </c>
      <c r="M82" s="58" t="str">
        <f t="shared" si="2"/>
        <v>0</v>
      </c>
      <c r="N82" s="10"/>
      <c r="O82" s="10"/>
      <c r="P82" s="10"/>
    </row>
    <row r="83" spans="1:19" s="27" customFormat="1" ht="15.75" customHeight="1" x14ac:dyDescent="0.25">
      <c r="B83"/>
      <c r="C83"/>
      <c r="D83"/>
      <c r="E83"/>
      <c r="F83"/>
      <c r="G83"/>
      <c r="I83" s="340"/>
      <c r="K83" s="234" t="str">
        <f>IF($J$60&gt;K82, 23, "")</f>
        <v/>
      </c>
      <c r="L83" s="235" t="str">
        <f t="shared" si="1"/>
        <v/>
      </c>
      <c r="M83" s="58" t="str">
        <f t="shared" si="2"/>
        <v>0</v>
      </c>
      <c r="N83" s="351"/>
      <c r="O83" s="351"/>
      <c r="P83" s="10"/>
    </row>
    <row r="84" spans="1:19" s="27" customFormat="1" ht="15.75" customHeight="1" x14ac:dyDescent="0.25">
      <c r="B84"/>
      <c r="C84"/>
      <c r="D84"/>
      <c r="E84"/>
      <c r="F84"/>
      <c r="G84"/>
      <c r="I84" s="340"/>
      <c r="K84" s="234" t="str">
        <f>IF($J$60&gt;K83, 24, "")</f>
        <v/>
      </c>
      <c r="L84" s="235" t="str">
        <f t="shared" si="1"/>
        <v/>
      </c>
      <c r="M84" s="58" t="str">
        <f t="shared" si="2"/>
        <v>0</v>
      </c>
      <c r="N84" s="351"/>
      <c r="O84" s="351"/>
      <c r="P84" s="351"/>
    </row>
    <row r="85" spans="1:19" s="27" customFormat="1" ht="15.75" customHeight="1" x14ac:dyDescent="0.25">
      <c r="B85"/>
      <c r="C85"/>
      <c r="D85"/>
      <c r="E85"/>
      <c r="F85"/>
      <c r="G85"/>
      <c r="I85" s="340"/>
      <c r="K85" s="234" t="str">
        <f>IF($J$60&gt;K84, 25, "")</f>
        <v/>
      </c>
      <c r="L85" s="235" t="str">
        <f t="shared" si="1"/>
        <v/>
      </c>
      <c r="M85" s="58" t="str">
        <f t="shared" si="2"/>
        <v>0</v>
      </c>
      <c r="N85" s="10"/>
      <c r="O85" s="10"/>
      <c r="P85" s="10"/>
    </row>
    <row r="86" spans="1:19" s="27" customFormat="1" ht="15.75" customHeight="1" x14ac:dyDescent="0.25">
      <c r="B86"/>
      <c r="C86"/>
      <c r="D86"/>
      <c r="E86"/>
      <c r="F86"/>
      <c r="G86"/>
      <c r="I86" s="340"/>
      <c r="K86" s="234" t="str">
        <f>IF($J$60&gt;K85, 26, "")</f>
        <v/>
      </c>
      <c r="L86" s="235" t="str">
        <f>IF($J$60&gt;=K86,$E$55, "")</f>
        <v/>
      </c>
      <c r="M86" s="58" t="str">
        <f t="shared" si="2"/>
        <v>0</v>
      </c>
      <c r="N86" s="10"/>
      <c r="O86" s="10"/>
      <c r="P86" s="10"/>
    </row>
    <row r="87" spans="1:19" s="27" customFormat="1" ht="15.75" customHeight="1" x14ac:dyDescent="0.25">
      <c r="A87"/>
      <c r="B87"/>
      <c r="C87"/>
      <c r="D87"/>
      <c r="E87"/>
      <c r="F87"/>
      <c r="G87"/>
      <c r="I87" s="340"/>
      <c r="K87" s="234" t="str">
        <f>IF($J$60&gt;K86, 27, "")</f>
        <v/>
      </c>
      <c r="L87" s="235" t="str">
        <f t="shared" si="1"/>
        <v/>
      </c>
      <c r="M87" s="58" t="str">
        <f t="shared" si="2"/>
        <v>0</v>
      </c>
    </row>
    <row r="88" spans="1:19" s="27" customFormat="1" ht="15.75" customHeight="1" x14ac:dyDescent="0.25">
      <c r="A88"/>
      <c r="B88"/>
      <c r="C88"/>
      <c r="D88"/>
      <c r="E88"/>
      <c r="F88"/>
      <c r="I88" s="340"/>
      <c r="K88" s="234" t="str">
        <f>IF($J$60&gt;K87, 28, "")</f>
        <v/>
      </c>
      <c r="L88" s="235" t="str">
        <f t="shared" si="1"/>
        <v/>
      </c>
      <c r="M88" s="58" t="str">
        <f t="shared" si="2"/>
        <v>0</v>
      </c>
    </row>
    <row r="89" spans="1:19" s="27" customFormat="1" ht="15.75" customHeight="1" x14ac:dyDescent="0.25">
      <c r="A89"/>
      <c r="B89"/>
      <c r="C89"/>
      <c r="D89"/>
      <c r="E89"/>
      <c r="F89"/>
      <c r="I89" s="340"/>
      <c r="K89" s="234" t="str">
        <f>IF($J$60&gt;K88, 29, "")</f>
        <v/>
      </c>
      <c r="L89" s="235" t="str">
        <f t="shared" si="1"/>
        <v/>
      </c>
      <c r="M89" s="58" t="str">
        <f t="shared" si="2"/>
        <v>0</v>
      </c>
    </row>
    <row r="90" spans="1:19" s="27" customFormat="1" ht="15.75" customHeight="1" x14ac:dyDescent="0.25">
      <c r="A90"/>
      <c r="B90"/>
      <c r="C90"/>
      <c r="D90"/>
      <c r="E90"/>
      <c r="F90"/>
      <c r="I90" s="340"/>
      <c r="K90" s="234" t="str">
        <f>IF($J$60&gt;K89, 30, "")</f>
        <v/>
      </c>
      <c r="L90" s="235" t="str">
        <f t="shared" si="1"/>
        <v/>
      </c>
      <c r="M90" s="58" t="str">
        <f t="shared" si="2"/>
        <v>0</v>
      </c>
    </row>
    <row r="91" spans="1:19" s="27" customFormat="1" ht="15.75" customHeight="1" x14ac:dyDescent="0.25">
      <c r="A91"/>
      <c r="B91"/>
      <c r="C91"/>
      <c r="D91"/>
      <c r="E91"/>
      <c r="F91"/>
      <c r="K91" s="2" t="s">
        <v>39</v>
      </c>
      <c r="L91" s="49">
        <f>SUM(L61:L90)</f>
        <v>0</v>
      </c>
      <c r="M91" s="50">
        <f>SUM(M61:M80)</f>
        <v>0</v>
      </c>
    </row>
    <row r="92" spans="1:19" s="27" customFormat="1" ht="15.75" customHeight="1" x14ac:dyDescent="0.25">
      <c r="A92"/>
      <c r="B92"/>
      <c r="C92"/>
      <c r="D92"/>
      <c r="E92"/>
      <c r="F92"/>
      <c r="K92" s="245"/>
      <c r="L92" s="246"/>
      <c r="M92" s="28"/>
    </row>
    <row r="93" spans="1:19" s="27" customFormat="1" ht="15.75" customHeight="1" thickBot="1" x14ac:dyDescent="0.3">
      <c r="A93"/>
      <c r="B93"/>
      <c r="C93"/>
      <c r="D93"/>
      <c r="E93"/>
      <c r="F93"/>
      <c r="K93" s="242" t="s">
        <v>40</v>
      </c>
      <c r="L93" s="243"/>
      <c r="M93" s="60">
        <v>0.04</v>
      </c>
    </row>
    <row r="94" spans="1:19" s="27" customFormat="1" ht="15" x14ac:dyDescent="0.25">
      <c r="A94"/>
      <c r="B94"/>
      <c r="C94"/>
      <c r="D94"/>
      <c r="E94"/>
      <c r="F94"/>
    </row>
    <row r="95" spans="1:19" s="27" customFormat="1" ht="14.1" customHeight="1" x14ac:dyDescent="0.2"/>
  </sheetData>
  <sheetProtection sheet="1" objects="1" scenarios="1" selectLockedCells="1"/>
  <mergeCells count="4">
    <mergeCell ref="O6:O8"/>
    <mergeCell ref="N65:P65"/>
    <mergeCell ref="N83:O83"/>
    <mergeCell ref="N84:P84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10">
    <tabColor rgb="FF00B0F0"/>
  </sheetPr>
  <dimension ref="B2:J20"/>
  <sheetViews>
    <sheetView showGridLines="0" view="pageBreakPreview" zoomScaleNormal="100" zoomScaleSheetLayoutView="100" workbookViewId="0"/>
  </sheetViews>
  <sheetFormatPr defaultColWidth="9.140625" defaultRowHeight="12.75" x14ac:dyDescent="0.2"/>
  <cols>
    <col min="1" max="1" width="5.7109375" style="5" customWidth="1"/>
    <col min="2" max="2" width="47.28515625" style="5" customWidth="1"/>
    <col min="3" max="3" width="15.140625" style="5" customWidth="1"/>
    <col min="4" max="4" width="15.7109375" style="5" customWidth="1"/>
    <col min="5" max="6" width="12.7109375" style="5" customWidth="1"/>
    <col min="7" max="7" width="14.85546875" style="5" customWidth="1"/>
    <col min="8" max="8" width="12.7109375" style="5" customWidth="1"/>
    <col min="9" max="9" width="5.7109375" style="5" customWidth="1"/>
    <col min="10" max="16384" width="9.140625" style="5"/>
  </cols>
  <sheetData>
    <row r="2" spans="2:8" ht="20.25" x14ac:dyDescent="0.2">
      <c r="B2" s="7" t="s">
        <v>47</v>
      </c>
      <c r="C2" s="27"/>
      <c r="D2" s="27"/>
    </row>
    <row r="3" spans="2:8" ht="12" customHeight="1" thickBot="1" x14ac:dyDescent="0.25">
      <c r="B3" s="27"/>
      <c r="C3" s="27"/>
      <c r="D3" s="27"/>
      <c r="F3" s="19"/>
    </row>
    <row r="4" spans="2:8" ht="15" customHeight="1" x14ac:dyDescent="0.2">
      <c r="B4" s="1" t="s">
        <v>32</v>
      </c>
      <c r="C4" s="29"/>
      <c r="D4" s="30"/>
      <c r="F4" s="19"/>
    </row>
    <row r="5" spans="2:8" ht="15" customHeight="1" x14ac:dyDescent="0.2">
      <c r="B5" s="352" t="s">
        <v>6</v>
      </c>
      <c r="C5" s="353"/>
      <c r="D5" s="28">
        <v>1</v>
      </c>
    </row>
    <row r="6" spans="2:8" ht="15" customHeight="1" x14ac:dyDescent="0.2">
      <c r="B6" s="352" t="s">
        <v>7</v>
      </c>
      <c r="C6" s="353"/>
      <c r="D6" s="28" t="str">
        <f ca="1">INDEX('Skupni zajamčeni prihranki'!B6:N8,MATCH(B6,('Skupni zajamčeni prihranki'!B6:B8),0),MATCH($D$5,'Skupni zajamčeni prihranki'!B6:N6,0))</f>
        <v>IS01</v>
      </c>
    </row>
    <row r="7" spans="2:8" ht="31.5" customHeight="1" thickBot="1" x14ac:dyDescent="0.25">
      <c r="B7" s="356" t="s">
        <v>58</v>
      </c>
      <c r="C7" s="357"/>
      <c r="D7" s="44" t="str">
        <f>INDEX('Skupni zajamčeni prihranki'!B6:N8,MATCH(B7,('Skupni zajamčeni prihranki'!B6:B8),0),MATCH($D$5,'Skupni zajamčeni prihranki'!B6:N6,0))</f>
        <v>SE Mladinski center</v>
      </c>
    </row>
    <row r="8" spans="2:8" ht="7.9" customHeight="1" x14ac:dyDescent="0.2">
      <c r="B8" s="27"/>
      <c r="C8" s="27"/>
      <c r="D8" s="27"/>
    </row>
    <row r="9" spans="2:8" ht="15" customHeight="1" thickBot="1" x14ac:dyDescent="0.25">
      <c r="B9" s="8" t="s">
        <v>48</v>
      </c>
      <c r="C9" s="27"/>
      <c r="D9" s="27"/>
    </row>
    <row r="10" spans="2:8" ht="15" customHeight="1" x14ac:dyDescent="0.2">
      <c r="B10" s="107" t="s">
        <v>62</v>
      </c>
      <c r="C10" s="108" t="s">
        <v>60</v>
      </c>
      <c r="D10" s="99">
        <f>INDEX('Skupni zajamčeni prihranki'!B6:N40,MATCH(B10,('Skupni zajamčeni prihranki'!B6:B40),0),MATCH($D$5,'Skupni zajamčeni prihranki'!B6:N6,0))</f>
        <v>24.8</v>
      </c>
    </row>
    <row r="11" spans="2:8" ht="15" customHeight="1" x14ac:dyDescent="0.2">
      <c r="B11" s="103" t="s">
        <v>143</v>
      </c>
      <c r="C11" s="104" t="s">
        <v>27</v>
      </c>
      <c r="D11" s="100">
        <f>INDEX('Skupni zajamčeni prihranki'!B6:N40,MATCH(B11,('Skupni zajamčeni prihranki'!B6:B40),0),MATCH($D$5,'Skupni zajamčeni prihranki'!B6:N6,0))</f>
        <v>0</v>
      </c>
    </row>
    <row r="12" spans="2:8" ht="15" customHeight="1" x14ac:dyDescent="0.2">
      <c r="B12" s="103" t="s">
        <v>219</v>
      </c>
      <c r="C12" s="104" t="s">
        <v>60</v>
      </c>
      <c r="D12" s="101">
        <v>25</v>
      </c>
    </row>
    <row r="13" spans="2:8" ht="15" customHeight="1" x14ac:dyDescent="0.2">
      <c r="B13" s="103" t="s">
        <v>220</v>
      </c>
      <c r="C13" s="104" t="s">
        <v>60</v>
      </c>
      <c r="D13" s="100">
        <f>D12-D10</f>
        <v>0.19999999999999929</v>
      </c>
    </row>
    <row r="14" spans="2:8" ht="15" customHeight="1" x14ac:dyDescent="0.2">
      <c r="B14" s="103" t="s">
        <v>144</v>
      </c>
      <c r="C14" s="104" t="s">
        <v>61</v>
      </c>
      <c r="D14" s="100">
        <f>INDEX('Skupni zajamčeni prihranki'!B6:N40,MATCH(B14,('Skupni zajamčeni prihranki'!B6:B40),0),MATCH($D$5,'Skupni zajamčeni prihranki'!B6:N6,0))</f>
        <v>0</v>
      </c>
    </row>
    <row r="15" spans="2:8" ht="15" customHeight="1" x14ac:dyDescent="0.2">
      <c r="B15" s="103" t="s">
        <v>221</v>
      </c>
      <c r="C15" s="104" t="s">
        <v>61</v>
      </c>
      <c r="D15" s="100">
        <f>D13*D11</f>
        <v>0</v>
      </c>
    </row>
    <row r="16" spans="2:8" ht="15.75" thickBot="1" x14ac:dyDescent="0.3">
      <c r="B16" s="105" t="s">
        <v>222</v>
      </c>
      <c r="C16" s="106" t="s">
        <v>61</v>
      </c>
      <c r="D16" s="102">
        <f>D14+D15</f>
        <v>0</v>
      </c>
      <c r="F16"/>
      <c r="G16"/>
      <c r="H16"/>
    </row>
    <row r="17" spans="2:10" ht="7.9" customHeight="1" x14ac:dyDescent="0.25">
      <c r="B17" s="27"/>
      <c r="C17" s="27"/>
      <c r="D17" s="27"/>
      <c r="F17"/>
      <c r="G17"/>
      <c r="H17"/>
    </row>
    <row r="18" spans="2:10" ht="7.9" customHeight="1" x14ac:dyDescent="0.2">
      <c r="B18" s="27"/>
      <c r="C18" s="27"/>
      <c r="D18" s="27"/>
      <c r="E18" s="27"/>
      <c r="F18" s="27"/>
      <c r="G18" s="27"/>
      <c r="H18" s="27"/>
      <c r="I18" s="27"/>
      <c r="J18" s="27"/>
    </row>
    <row r="19" spans="2:10" ht="7.9" customHeight="1" x14ac:dyDescent="0.2">
      <c r="B19" s="27"/>
      <c r="C19" s="27"/>
      <c r="D19" s="27"/>
      <c r="E19" s="27"/>
      <c r="F19" s="27"/>
      <c r="G19" s="27"/>
      <c r="H19" s="27"/>
      <c r="I19" s="27"/>
      <c r="J19" s="27"/>
    </row>
    <row r="20" spans="2:10" ht="7.9" customHeight="1" x14ac:dyDescent="0.25">
      <c r="B20" s="6"/>
      <c r="C20" s="6"/>
      <c r="D20" s="6"/>
      <c r="E20" s="27"/>
      <c r="F20" s="27"/>
      <c r="G20" s="27"/>
      <c r="H20" s="27"/>
      <c r="I20" s="27"/>
    </row>
  </sheetData>
  <mergeCells count="3">
    <mergeCell ref="B5:C5"/>
    <mergeCell ref="B6:C6"/>
    <mergeCell ref="B7:C7"/>
  </mergeCells>
  <phoneticPr fontId="15" type="noConversion"/>
  <dataValidations disablePrompts="1" count="1">
    <dataValidation type="list" allowBlank="1" showInputMessage="1" showErrorMessage="1" sqref="D5" xr:uid="{00000000-0002-0000-0700-000000000000}">
      <formula1>"1,2,3,4,5,6,7,8,9,10,Skupnost"</formula1>
    </dataValidation>
  </dataValidations>
  <pageMargins left="0.7" right="0.7" top="0.75" bottom="0.75" header="0.3" footer="0.3"/>
  <pageSetup paperSize="9" scale="83" orientation="landscape" r:id="rId1"/>
  <headerFooter>
    <oddFooter>&amp;L&amp;A&amp;R&amp;P/&amp;N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3"/>
  <dimension ref="B2:C31"/>
  <sheetViews>
    <sheetView showGridLines="0" view="pageBreakPreview" zoomScale="115" zoomScaleNormal="100" zoomScaleSheetLayoutView="115" workbookViewId="0"/>
  </sheetViews>
  <sheetFormatPr defaultColWidth="9.140625" defaultRowHeight="12.75" x14ac:dyDescent="0.25"/>
  <cols>
    <col min="1" max="1" width="9.140625" style="16"/>
    <col min="2" max="2" width="21.7109375" style="16" bestFit="1" customWidth="1"/>
    <col min="3" max="3" width="40.5703125" style="16" bestFit="1" customWidth="1"/>
    <col min="4" max="7" width="9.140625" style="16"/>
    <col min="8" max="8" width="12.140625" style="16" customWidth="1"/>
    <col min="9" max="16384" width="9.140625" style="16"/>
  </cols>
  <sheetData>
    <row r="2" spans="2:3" ht="20.25" x14ac:dyDescent="0.25">
      <c r="B2" s="7" t="s">
        <v>11</v>
      </c>
      <c r="C2" s="34"/>
    </row>
    <row r="3" spans="2:3" ht="12" customHeight="1" x14ac:dyDescent="0.25">
      <c r="B3" s="7"/>
      <c r="C3" s="34"/>
    </row>
    <row r="4" spans="2:3" ht="12" customHeight="1" x14ac:dyDescent="0.25">
      <c r="B4" s="20"/>
      <c r="C4" s="34"/>
    </row>
    <row r="5" spans="2:3" ht="12" customHeight="1" x14ac:dyDescent="0.25">
      <c r="B5" s="20"/>
      <c r="C5" s="34"/>
    </row>
    <row r="6" spans="2:3" ht="12" customHeight="1" x14ac:dyDescent="0.25">
      <c r="B6" s="20"/>
      <c r="C6" s="34"/>
    </row>
    <row r="7" spans="2:3" ht="12" customHeight="1" thickBot="1" x14ac:dyDescent="0.3">
      <c r="B7" s="34"/>
      <c r="C7" s="34"/>
    </row>
    <row r="8" spans="2:3" ht="12" customHeight="1" x14ac:dyDescent="0.25">
      <c r="B8" s="35" t="s">
        <v>12</v>
      </c>
      <c r="C8" s="36"/>
    </row>
    <row r="9" spans="2:3" ht="12" customHeight="1" x14ac:dyDescent="0.25">
      <c r="B9" s="37"/>
      <c r="C9" s="38" t="s">
        <v>13</v>
      </c>
    </row>
    <row r="10" spans="2:3" ht="12" customHeight="1" thickBot="1" x14ac:dyDescent="0.3">
      <c r="B10" s="39"/>
      <c r="C10" s="40" t="s">
        <v>14</v>
      </c>
    </row>
    <row r="11" spans="2:3" ht="13.5" thickBot="1" x14ac:dyDescent="0.3">
      <c r="B11" s="34"/>
      <c r="C11" s="34"/>
    </row>
    <row r="12" spans="2:3" ht="12" customHeight="1" x14ac:dyDescent="0.25">
      <c r="B12" s="35" t="s">
        <v>15</v>
      </c>
      <c r="C12" s="36"/>
    </row>
    <row r="13" spans="2:3" ht="12" customHeight="1" x14ac:dyDescent="0.25">
      <c r="B13" s="41" t="s">
        <v>16</v>
      </c>
      <c r="C13" s="38" t="s">
        <v>17</v>
      </c>
    </row>
    <row r="14" spans="2:3" ht="12" customHeight="1" x14ac:dyDescent="0.25">
      <c r="B14" s="41" t="s">
        <v>18</v>
      </c>
      <c r="C14" s="38" t="s">
        <v>20</v>
      </c>
    </row>
    <row r="15" spans="2:3" ht="12" customHeight="1" x14ac:dyDescent="0.25">
      <c r="B15" s="41" t="s">
        <v>19</v>
      </c>
      <c r="C15" s="38" t="s">
        <v>17</v>
      </c>
    </row>
    <row r="16" spans="2:3" ht="12" customHeight="1" thickBot="1" x14ac:dyDescent="0.3">
      <c r="B16" s="42" t="s">
        <v>54</v>
      </c>
      <c r="C16" s="40" t="s">
        <v>17</v>
      </c>
    </row>
    <row r="18" spans="2:3" ht="12" customHeight="1" x14ac:dyDescent="0.25">
      <c r="B18" s="34" t="s">
        <v>21</v>
      </c>
      <c r="C18" s="34"/>
    </row>
    <row r="19" spans="2:3" ht="12" customHeight="1" x14ac:dyDescent="0.25">
      <c r="B19" s="18" t="s">
        <v>22</v>
      </c>
      <c r="C19" s="34"/>
    </row>
    <row r="20" spans="2:3" ht="12" customHeight="1" x14ac:dyDescent="0.25">
      <c r="B20" s="43" t="s">
        <v>55</v>
      </c>
      <c r="C20" s="34"/>
    </row>
    <row r="21" spans="2:3" ht="12" customHeight="1" x14ac:dyDescent="0.25">
      <c r="B21" s="43" t="s">
        <v>56</v>
      </c>
      <c r="C21" s="34"/>
    </row>
    <row r="22" spans="2:3" ht="12" customHeight="1" x14ac:dyDescent="0.25">
      <c r="B22" s="34"/>
      <c r="C22" s="34"/>
    </row>
    <row r="23" spans="2:3" ht="13.5" thickBot="1" x14ac:dyDescent="0.3">
      <c r="B23" s="34"/>
      <c r="C23" s="34"/>
    </row>
    <row r="24" spans="2:3" ht="12" customHeight="1" x14ac:dyDescent="0.25">
      <c r="B24" s="35" t="s">
        <v>23</v>
      </c>
      <c r="C24" s="36"/>
    </row>
    <row r="25" spans="2:3" ht="12" customHeight="1" x14ac:dyDescent="0.25">
      <c r="B25" s="45" t="s">
        <v>52</v>
      </c>
      <c r="C25" s="46" t="s">
        <v>53</v>
      </c>
    </row>
    <row r="26" spans="2:3" ht="12" customHeight="1" x14ac:dyDescent="0.25">
      <c r="B26" s="41" t="s">
        <v>25</v>
      </c>
      <c r="C26" s="38" t="s">
        <v>26</v>
      </c>
    </row>
    <row r="27" spans="2:3" ht="12" customHeight="1" x14ac:dyDescent="0.25">
      <c r="B27" s="41" t="s">
        <v>50</v>
      </c>
      <c r="C27" s="38" t="s">
        <v>51</v>
      </c>
    </row>
    <row r="28" spans="2:3" ht="12" customHeight="1" x14ac:dyDescent="0.25">
      <c r="B28" s="45" t="s">
        <v>59</v>
      </c>
      <c r="C28" s="46" t="s">
        <v>73</v>
      </c>
    </row>
    <row r="29" spans="2:3" ht="12" customHeight="1" x14ac:dyDescent="0.25">
      <c r="B29" s="45" t="s">
        <v>74</v>
      </c>
      <c r="C29" s="46" t="s">
        <v>75</v>
      </c>
    </row>
    <row r="30" spans="2:3" ht="12" customHeight="1" thickBot="1" x14ac:dyDescent="0.3">
      <c r="B30" s="42" t="s">
        <v>71</v>
      </c>
      <c r="C30" s="40" t="s">
        <v>72</v>
      </c>
    </row>
    <row r="31" spans="2:3" x14ac:dyDescent="0.25">
      <c r="B31" s="34"/>
      <c r="C31" s="34"/>
    </row>
  </sheetData>
  <pageMargins left="0.7" right="0.7" top="0.75" bottom="0.75" header="0.3" footer="0.3"/>
  <pageSetup paperSize="9" scale="6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>
    <tabColor rgb="FFFFFF00"/>
  </sheetPr>
  <dimension ref="B2:J41"/>
  <sheetViews>
    <sheetView zoomScale="85" zoomScaleNormal="85" zoomScaleSheetLayoutView="115" workbookViewId="0">
      <selection activeCell="C6" sqref="C6"/>
    </sheetView>
  </sheetViews>
  <sheetFormatPr defaultColWidth="9.140625" defaultRowHeight="12.75" x14ac:dyDescent="0.2"/>
  <cols>
    <col min="1" max="1" width="3.28515625" style="5" customWidth="1"/>
    <col min="2" max="2" width="4.42578125" style="5" customWidth="1"/>
    <col min="3" max="3" width="32" style="5" bestFit="1" customWidth="1"/>
    <col min="4" max="4" width="29.85546875" style="5" bestFit="1" customWidth="1"/>
    <col min="5" max="5" width="23.42578125" style="5" bestFit="1" customWidth="1"/>
    <col min="6" max="6" width="23" style="5" customWidth="1"/>
    <col min="7" max="7" width="30.5703125" style="5" customWidth="1"/>
    <col min="8" max="8" width="27.42578125" style="5" bestFit="1" customWidth="1"/>
    <col min="9" max="9" width="21" style="5" customWidth="1"/>
    <col min="10" max="10" width="9.140625" style="5" customWidth="1"/>
    <col min="11" max="16384" width="9.140625" style="5"/>
  </cols>
  <sheetData>
    <row r="2" spans="2:10" ht="20.25" x14ac:dyDescent="0.3">
      <c r="B2" s="61" t="s">
        <v>2</v>
      </c>
      <c r="C2" s="27"/>
      <c r="D2" s="27"/>
      <c r="E2" s="27"/>
      <c r="F2" s="27"/>
      <c r="G2" s="27"/>
      <c r="H2" s="27"/>
      <c r="I2" s="27"/>
    </row>
    <row r="3" spans="2:10" ht="15.75" x14ac:dyDescent="0.2">
      <c r="B3" s="350" t="s">
        <v>5</v>
      </c>
      <c r="C3" s="350"/>
      <c r="D3" s="350"/>
      <c r="E3" s="350"/>
      <c r="F3" s="350"/>
      <c r="G3" s="350"/>
      <c r="H3" s="350"/>
      <c r="I3" s="350"/>
    </row>
    <row r="4" spans="2:10" ht="16.5" thickBot="1" x14ac:dyDescent="0.3">
      <c r="B4" s="116"/>
      <c r="C4" s="116"/>
      <c r="D4" s="116"/>
      <c r="E4" s="116"/>
      <c r="F4" s="116"/>
      <c r="G4" s="117"/>
      <c r="H4" s="116"/>
      <c r="I4" s="116"/>
    </row>
    <row r="5" spans="2:10" x14ac:dyDescent="0.2">
      <c r="B5" s="118" t="s">
        <v>6</v>
      </c>
      <c r="C5" s="119" t="s">
        <v>58</v>
      </c>
      <c r="D5" s="119" t="s">
        <v>8</v>
      </c>
      <c r="E5" s="119" t="s">
        <v>9</v>
      </c>
      <c r="F5" s="120" t="s">
        <v>10</v>
      </c>
      <c r="G5" s="120" t="s">
        <v>134</v>
      </c>
      <c r="H5" s="120" t="s">
        <v>133</v>
      </c>
      <c r="I5" s="120" t="s">
        <v>57</v>
      </c>
    </row>
    <row r="6" spans="2:10" x14ac:dyDescent="0.2">
      <c r="B6" s="121">
        <v>1</v>
      </c>
      <c r="C6" s="62" t="s">
        <v>82</v>
      </c>
      <c r="D6" s="63" t="s">
        <v>114</v>
      </c>
      <c r="E6" s="89" t="s">
        <v>175</v>
      </c>
      <c r="F6" s="64"/>
      <c r="G6" s="65">
        <v>24.8</v>
      </c>
      <c r="H6" s="65">
        <v>24.64</v>
      </c>
      <c r="I6" s="66" t="s">
        <v>59</v>
      </c>
      <c r="J6" s="343"/>
    </row>
    <row r="7" spans="2:10" x14ac:dyDescent="0.2">
      <c r="B7" s="121">
        <v>2</v>
      </c>
      <c r="C7" s="67" t="s">
        <v>83</v>
      </c>
      <c r="D7" s="63" t="s">
        <v>115</v>
      </c>
      <c r="E7" s="89" t="s">
        <v>176</v>
      </c>
      <c r="F7" s="64"/>
      <c r="G7" s="65">
        <v>13.7</v>
      </c>
      <c r="H7" s="114">
        <v>13.64</v>
      </c>
      <c r="I7" s="66" t="s">
        <v>59</v>
      </c>
      <c r="J7" s="343"/>
    </row>
    <row r="8" spans="2:10" x14ac:dyDescent="0.2">
      <c r="B8" s="121">
        <v>3</v>
      </c>
      <c r="C8" s="62" t="s">
        <v>90</v>
      </c>
      <c r="D8" s="63" t="s">
        <v>116</v>
      </c>
      <c r="E8" s="89" t="s">
        <v>177</v>
      </c>
      <c r="F8" s="64"/>
      <c r="G8" s="114">
        <v>52.43</v>
      </c>
      <c r="H8" s="114">
        <v>44.88</v>
      </c>
      <c r="I8" s="66" t="s">
        <v>59</v>
      </c>
      <c r="J8" s="343"/>
    </row>
    <row r="9" spans="2:10" x14ac:dyDescent="0.2">
      <c r="B9" s="121">
        <v>4</v>
      </c>
      <c r="C9" s="67" t="s">
        <v>84</v>
      </c>
      <c r="D9" s="63" t="s">
        <v>117</v>
      </c>
      <c r="E9" s="89" t="s">
        <v>178</v>
      </c>
      <c r="F9" s="64"/>
      <c r="G9" s="114">
        <v>14.36</v>
      </c>
      <c r="H9" s="114">
        <v>12.76</v>
      </c>
      <c r="I9" s="66" t="s">
        <v>59</v>
      </c>
      <c r="J9" s="343"/>
    </row>
    <row r="10" spans="2:10" x14ac:dyDescent="0.2">
      <c r="B10" s="121">
        <v>5</v>
      </c>
      <c r="C10" s="62" t="s">
        <v>85</v>
      </c>
      <c r="D10" s="63" t="s">
        <v>132</v>
      </c>
      <c r="E10" s="89" t="s">
        <v>179</v>
      </c>
      <c r="F10" s="64"/>
      <c r="G10" s="114">
        <v>14</v>
      </c>
      <c r="H10" s="114">
        <v>13.64</v>
      </c>
      <c r="I10" s="66" t="s">
        <v>59</v>
      </c>
      <c r="J10" s="343"/>
    </row>
    <row r="11" spans="2:10" x14ac:dyDescent="0.2">
      <c r="B11" s="121">
        <v>6</v>
      </c>
      <c r="C11" s="67" t="s">
        <v>86</v>
      </c>
      <c r="D11" s="63" t="s">
        <v>118</v>
      </c>
      <c r="E11" s="89" t="s">
        <v>180</v>
      </c>
      <c r="F11" s="64"/>
      <c r="G11" s="114">
        <v>18.600000000000001</v>
      </c>
      <c r="H11" s="114">
        <v>18.48</v>
      </c>
      <c r="I11" s="66" t="s">
        <v>59</v>
      </c>
      <c r="J11" s="343"/>
    </row>
    <row r="12" spans="2:10" x14ac:dyDescent="0.2">
      <c r="B12" s="121">
        <v>7</v>
      </c>
      <c r="C12" s="62" t="s">
        <v>87</v>
      </c>
      <c r="D12" s="63" t="s">
        <v>119</v>
      </c>
      <c r="E12" s="89" t="s">
        <v>181</v>
      </c>
      <c r="F12" s="64"/>
      <c r="G12" s="114">
        <v>29.1</v>
      </c>
      <c r="H12" s="114">
        <v>29.04</v>
      </c>
      <c r="I12" s="66" t="s">
        <v>59</v>
      </c>
      <c r="J12" s="343"/>
    </row>
    <row r="13" spans="2:10" x14ac:dyDescent="0.2">
      <c r="B13" s="121">
        <v>8</v>
      </c>
      <c r="C13" s="67" t="s">
        <v>91</v>
      </c>
      <c r="D13" s="63" t="s">
        <v>120</v>
      </c>
      <c r="E13" s="89" t="s">
        <v>182</v>
      </c>
      <c r="F13" s="64"/>
      <c r="G13" s="114">
        <v>26.9</v>
      </c>
      <c r="H13" s="114">
        <v>25.52</v>
      </c>
      <c r="I13" s="66" t="s">
        <v>59</v>
      </c>
      <c r="J13" s="343"/>
    </row>
    <row r="14" spans="2:10" x14ac:dyDescent="0.2">
      <c r="B14" s="121">
        <v>9</v>
      </c>
      <c r="C14" s="62" t="s">
        <v>88</v>
      </c>
      <c r="D14" s="63" t="s">
        <v>121</v>
      </c>
      <c r="E14" s="89" t="s">
        <v>183</v>
      </c>
      <c r="F14" s="64"/>
      <c r="G14" s="114">
        <v>26</v>
      </c>
      <c r="H14" s="114">
        <v>25.52</v>
      </c>
      <c r="I14" s="66" t="s">
        <v>59</v>
      </c>
      <c r="J14" s="343"/>
    </row>
    <row r="15" spans="2:10" x14ac:dyDescent="0.2">
      <c r="B15" s="121">
        <v>10</v>
      </c>
      <c r="C15" s="62" t="s">
        <v>89</v>
      </c>
      <c r="D15" s="63" t="s">
        <v>122</v>
      </c>
      <c r="E15" s="89" t="s">
        <v>184</v>
      </c>
      <c r="F15" s="64"/>
      <c r="G15" s="114">
        <v>7.6</v>
      </c>
      <c r="H15" s="114">
        <v>7.04</v>
      </c>
      <c r="I15" s="66" t="s">
        <v>59</v>
      </c>
      <c r="J15" s="343"/>
    </row>
    <row r="16" spans="2:10" x14ac:dyDescent="0.2">
      <c r="B16" s="121">
        <v>11</v>
      </c>
      <c r="C16" s="111" t="s">
        <v>226</v>
      </c>
      <c r="D16" s="67" t="s">
        <v>185</v>
      </c>
      <c r="E16" s="89" t="s">
        <v>175</v>
      </c>
      <c r="F16" s="64"/>
      <c r="G16" s="114">
        <v>133.05000000000001</v>
      </c>
      <c r="H16" s="114">
        <v>160.16</v>
      </c>
      <c r="I16" s="66" t="s">
        <v>81</v>
      </c>
      <c r="J16" s="343"/>
    </row>
    <row r="17" spans="2:10" x14ac:dyDescent="0.2">
      <c r="B17" s="121">
        <v>12</v>
      </c>
      <c r="C17" s="67" t="s">
        <v>92</v>
      </c>
      <c r="D17" s="63" t="s">
        <v>115</v>
      </c>
      <c r="E17" s="89" t="s">
        <v>176</v>
      </c>
      <c r="F17" s="64"/>
      <c r="G17" s="114">
        <v>1</v>
      </c>
      <c r="H17" s="114">
        <v>48.84</v>
      </c>
      <c r="I17" s="66" t="s">
        <v>81</v>
      </c>
      <c r="J17" s="343" t="s">
        <v>227</v>
      </c>
    </row>
    <row r="18" spans="2:10" x14ac:dyDescent="0.2">
      <c r="B18" s="121">
        <v>13</v>
      </c>
      <c r="C18" s="67" t="s">
        <v>93</v>
      </c>
      <c r="D18" s="63" t="s">
        <v>117</v>
      </c>
      <c r="E18" s="89" t="s">
        <v>178</v>
      </c>
      <c r="F18" s="64"/>
      <c r="G18" s="65">
        <v>1</v>
      </c>
      <c r="H18" s="65">
        <v>57.2</v>
      </c>
      <c r="I18" s="66" t="s">
        <v>81</v>
      </c>
      <c r="J18" s="343" t="s">
        <v>227</v>
      </c>
    </row>
    <row r="19" spans="2:10" x14ac:dyDescent="0.2">
      <c r="B19" s="121">
        <v>14</v>
      </c>
      <c r="C19" s="62" t="s">
        <v>94</v>
      </c>
      <c r="D19" s="63" t="s">
        <v>132</v>
      </c>
      <c r="E19" s="89" t="s">
        <v>186</v>
      </c>
      <c r="F19" s="64"/>
      <c r="G19" s="65">
        <v>289.74</v>
      </c>
      <c r="H19" s="65">
        <v>77.44</v>
      </c>
      <c r="I19" s="66" t="s">
        <v>81</v>
      </c>
      <c r="J19" s="343"/>
    </row>
    <row r="20" spans="2:10" x14ac:dyDescent="0.2">
      <c r="B20" s="121">
        <v>15</v>
      </c>
      <c r="C20" s="62" t="s">
        <v>95</v>
      </c>
      <c r="D20" s="63" t="s">
        <v>132</v>
      </c>
      <c r="E20" s="89" t="s">
        <v>186</v>
      </c>
      <c r="F20" s="64"/>
      <c r="G20" s="65">
        <v>1</v>
      </c>
      <c r="H20" s="65">
        <v>58.96</v>
      </c>
      <c r="I20" s="66" t="s">
        <v>81</v>
      </c>
      <c r="J20" s="343" t="s">
        <v>227</v>
      </c>
    </row>
    <row r="21" spans="2:10" x14ac:dyDescent="0.2">
      <c r="B21" s="121">
        <v>16</v>
      </c>
      <c r="C21" s="62" t="s">
        <v>96</v>
      </c>
      <c r="D21" s="63" t="s">
        <v>123</v>
      </c>
      <c r="E21" s="89" t="s">
        <v>187</v>
      </c>
      <c r="F21" s="64"/>
      <c r="G21" s="65">
        <v>220.61</v>
      </c>
      <c r="H21" s="65">
        <v>100.32</v>
      </c>
      <c r="I21" s="66" t="s">
        <v>81</v>
      </c>
      <c r="J21" s="343"/>
    </row>
    <row r="22" spans="2:10" x14ac:dyDescent="0.2">
      <c r="B22" s="121">
        <v>17</v>
      </c>
      <c r="C22" s="62" t="s">
        <v>97</v>
      </c>
      <c r="D22" s="63" t="s">
        <v>124</v>
      </c>
      <c r="E22" s="89" t="s">
        <v>188</v>
      </c>
      <c r="F22" s="64"/>
      <c r="G22" s="65">
        <v>95.25</v>
      </c>
      <c r="H22" s="65">
        <v>293.04000000000002</v>
      </c>
      <c r="I22" s="66" t="s">
        <v>81</v>
      </c>
      <c r="J22" s="343"/>
    </row>
    <row r="23" spans="2:10" x14ac:dyDescent="0.2">
      <c r="B23" s="121">
        <v>18</v>
      </c>
      <c r="C23" s="67" t="s">
        <v>98</v>
      </c>
      <c r="D23" s="63" t="s">
        <v>125</v>
      </c>
      <c r="E23" s="89" t="s">
        <v>189</v>
      </c>
      <c r="F23" s="64"/>
      <c r="G23" s="65">
        <v>328.23</v>
      </c>
      <c r="H23" s="65">
        <v>225.72</v>
      </c>
      <c r="I23" s="66" t="s">
        <v>81</v>
      </c>
      <c r="J23" s="343"/>
    </row>
    <row r="24" spans="2:10" x14ac:dyDescent="0.2">
      <c r="B24" s="121">
        <v>19</v>
      </c>
      <c r="C24" s="67" t="s">
        <v>99</v>
      </c>
      <c r="D24" s="63" t="s">
        <v>120</v>
      </c>
      <c r="E24" s="89" t="s">
        <v>190</v>
      </c>
      <c r="F24" s="64"/>
      <c r="G24" s="65">
        <v>113.83</v>
      </c>
      <c r="H24" s="65">
        <v>149.6</v>
      </c>
      <c r="I24" s="66" t="s">
        <v>81</v>
      </c>
      <c r="J24" s="343"/>
    </row>
    <row r="25" spans="2:10" x14ac:dyDescent="0.2">
      <c r="B25" s="121">
        <v>20</v>
      </c>
      <c r="C25" s="67" t="s">
        <v>100</v>
      </c>
      <c r="D25" s="63" t="s">
        <v>126</v>
      </c>
      <c r="E25" s="89" t="s">
        <v>191</v>
      </c>
      <c r="F25" s="64"/>
      <c r="G25" s="65">
        <v>265.51</v>
      </c>
      <c r="H25" s="65">
        <v>230.56</v>
      </c>
      <c r="I25" s="66" t="s">
        <v>81</v>
      </c>
      <c r="J25" s="343"/>
    </row>
    <row r="26" spans="2:10" x14ac:dyDescent="0.2">
      <c r="B26" s="121">
        <v>21</v>
      </c>
      <c r="C26" s="67" t="s">
        <v>101</v>
      </c>
      <c r="D26" s="63" t="s">
        <v>127</v>
      </c>
      <c r="E26" s="89" t="s">
        <v>192</v>
      </c>
      <c r="F26" s="64"/>
      <c r="G26" s="65">
        <v>36.380000000000003</v>
      </c>
      <c r="H26" s="65">
        <v>107.8</v>
      </c>
      <c r="I26" s="66" t="s">
        <v>81</v>
      </c>
      <c r="J26" s="343"/>
    </row>
    <row r="27" spans="2:10" x14ac:dyDescent="0.2">
      <c r="B27" s="121">
        <v>22</v>
      </c>
      <c r="C27" s="67" t="s">
        <v>102</v>
      </c>
      <c r="D27" s="63" t="s">
        <v>128</v>
      </c>
      <c r="E27" s="89" t="s">
        <v>193</v>
      </c>
      <c r="F27" s="64"/>
      <c r="G27" s="65">
        <v>110.55</v>
      </c>
      <c r="H27" s="65">
        <v>54.12</v>
      </c>
      <c r="I27" s="66" t="s">
        <v>81</v>
      </c>
      <c r="J27" s="343"/>
    </row>
    <row r="28" spans="2:10" x14ac:dyDescent="0.2">
      <c r="B28" s="121">
        <v>23</v>
      </c>
      <c r="C28" s="67" t="s">
        <v>103</v>
      </c>
      <c r="D28" s="63" t="s">
        <v>129</v>
      </c>
      <c r="E28" s="89" t="s">
        <v>194</v>
      </c>
      <c r="F28" s="64"/>
      <c r="G28" s="65">
        <v>124.83</v>
      </c>
      <c r="H28" s="65">
        <v>178.2</v>
      </c>
      <c r="I28" s="66" t="s">
        <v>81</v>
      </c>
      <c r="J28" s="343"/>
    </row>
    <row r="29" spans="2:10" x14ac:dyDescent="0.2">
      <c r="B29" s="121">
        <v>24</v>
      </c>
      <c r="C29" s="67" t="s">
        <v>104</v>
      </c>
      <c r="D29" s="63" t="s">
        <v>130</v>
      </c>
      <c r="E29" s="89" t="s">
        <v>195</v>
      </c>
      <c r="F29" s="64"/>
      <c r="G29" s="65">
        <v>89</v>
      </c>
      <c r="H29" s="65">
        <v>177.08</v>
      </c>
      <c r="I29" s="66" t="s">
        <v>81</v>
      </c>
      <c r="J29" s="343"/>
    </row>
    <row r="30" spans="2:10" x14ac:dyDescent="0.2">
      <c r="B30" s="121">
        <v>25</v>
      </c>
      <c r="C30" s="67" t="s">
        <v>105</v>
      </c>
      <c r="D30" s="63" t="s">
        <v>121</v>
      </c>
      <c r="E30" s="89" t="s">
        <v>183</v>
      </c>
      <c r="F30" s="64"/>
      <c r="G30" s="65">
        <v>103.16</v>
      </c>
      <c r="H30" s="65">
        <v>26.4</v>
      </c>
      <c r="I30" s="66" t="s">
        <v>81</v>
      </c>
      <c r="J30" s="343"/>
    </row>
    <row r="31" spans="2:10" x14ac:dyDescent="0.2">
      <c r="B31" s="121">
        <v>26</v>
      </c>
      <c r="C31" s="67" t="s">
        <v>106</v>
      </c>
      <c r="D31" s="63" t="s">
        <v>131</v>
      </c>
      <c r="E31" s="89" t="s">
        <v>196</v>
      </c>
      <c r="F31" s="64"/>
      <c r="G31" s="65">
        <v>327.17</v>
      </c>
      <c r="H31" s="65">
        <v>172.48</v>
      </c>
      <c r="I31" s="66" t="s">
        <v>81</v>
      </c>
      <c r="J31" s="343"/>
    </row>
    <row r="32" spans="2:10" x14ac:dyDescent="0.2">
      <c r="B32" s="121">
        <v>27</v>
      </c>
      <c r="C32" s="111" t="s">
        <v>223</v>
      </c>
      <c r="D32" s="111" t="s">
        <v>224</v>
      </c>
      <c r="E32" s="112" t="s">
        <v>225</v>
      </c>
      <c r="F32" s="113"/>
      <c r="G32" s="109">
        <v>263.27</v>
      </c>
      <c r="H32" s="110">
        <v>158.4</v>
      </c>
      <c r="I32" s="115" t="s">
        <v>81</v>
      </c>
      <c r="J32" s="344" t="s">
        <v>228</v>
      </c>
    </row>
    <row r="33" spans="2:10" x14ac:dyDescent="0.2">
      <c r="B33" s="121">
        <v>28</v>
      </c>
      <c r="C33" s="67" t="s">
        <v>107</v>
      </c>
      <c r="D33" s="64"/>
      <c r="E33" s="89"/>
      <c r="F33" s="64"/>
      <c r="G33" s="65">
        <v>149.75</v>
      </c>
      <c r="H33" s="65">
        <v>0</v>
      </c>
      <c r="I33" s="66" t="s">
        <v>81</v>
      </c>
      <c r="J33" s="343"/>
    </row>
    <row r="34" spans="2:10" x14ac:dyDescent="0.2">
      <c r="B34" s="121">
        <v>29</v>
      </c>
      <c r="C34" s="67" t="s">
        <v>108</v>
      </c>
      <c r="D34" s="64"/>
      <c r="E34" s="89"/>
      <c r="F34" s="64"/>
      <c r="G34" s="65">
        <v>12.76</v>
      </c>
      <c r="H34" s="65">
        <v>0</v>
      </c>
      <c r="I34" s="66" t="s">
        <v>81</v>
      </c>
      <c r="J34" s="343"/>
    </row>
    <row r="35" spans="2:10" x14ac:dyDescent="0.2">
      <c r="B35" s="121">
        <v>30</v>
      </c>
      <c r="C35" s="67" t="s">
        <v>109</v>
      </c>
      <c r="D35" s="64"/>
      <c r="E35" s="89"/>
      <c r="F35" s="64"/>
      <c r="G35" s="65">
        <v>40.29</v>
      </c>
      <c r="H35" s="65">
        <v>0</v>
      </c>
      <c r="I35" s="66" t="s">
        <v>81</v>
      </c>
      <c r="J35" s="343"/>
    </row>
    <row r="36" spans="2:10" x14ac:dyDescent="0.2">
      <c r="B36" s="121">
        <v>31</v>
      </c>
      <c r="C36" s="67" t="s">
        <v>110</v>
      </c>
      <c r="D36" s="64"/>
      <c r="E36" s="89"/>
      <c r="F36" s="64"/>
      <c r="G36" s="65">
        <v>21.64</v>
      </c>
      <c r="H36" s="65">
        <v>0</v>
      </c>
      <c r="I36" s="66" t="s">
        <v>81</v>
      </c>
      <c r="J36" s="343"/>
    </row>
    <row r="37" spans="2:10" x14ac:dyDescent="0.2">
      <c r="B37" s="121">
        <v>32</v>
      </c>
      <c r="C37" s="62" t="s">
        <v>135</v>
      </c>
      <c r="D37" s="68"/>
      <c r="E37" s="89"/>
      <c r="F37" s="64"/>
      <c r="G37" s="65">
        <v>16.46</v>
      </c>
      <c r="H37" s="65">
        <v>0</v>
      </c>
      <c r="I37" s="66" t="s">
        <v>81</v>
      </c>
      <c r="J37" s="343"/>
    </row>
    <row r="38" spans="2:10" x14ac:dyDescent="0.2">
      <c r="B38" s="122">
        <v>33</v>
      </c>
      <c r="C38" s="69" t="s">
        <v>136</v>
      </c>
      <c r="D38" s="70"/>
      <c r="E38" s="90"/>
      <c r="F38" s="71"/>
      <c r="G38" s="65">
        <v>41.29</v>
      </c>
      <c r="H38" s="65">
        <v>0</v>
      </c>
      <c r="I38" s="66" t="s">
        <v>81</v>
      </c>
      <c r="J38" s="343"/>
    </row>
    <row r="39" spans="2:10" x14ac:dyDescent="0.2">
      <c r="B39" s="122">
        <v>34</v>
      </c>
      <c r="C39" s="69" t="s">
        <v>111</v>
      </c>
      <c r="D39" s="70"/>
      <c r="E39" s="90"/>
      <c r="F39" s="71"/>
      <c r="G39" s="65">
        <v>39.869999999999997</v>
      </c>
      <c r="H39" s="65">
        <v>0</v>
      </c>
      <c r="I39" s="66" t="s">
        <v>81</v>
      </c>
      <c r="J39" s="343"/>
    </row>
    <row r="40" spans="2:10" x14ac:dyDescent="0.2">
      <c r="B40" s="122">
        <v>35</v>
      </c>
      <c r="C40" s="69" t="s">
        <v>112</v>
      </c>
      <c r="D40" s="70"/>
      <c r="E40" s="90"/>
      <c r="F40" s="71"/>
      <c r="G40" s="72">
        <v>82.12</v>
      </c>
      <c r="H40" s="72">
        <v>0</v>
      </c>
      <c r="I40" s="66" t="s">
        <v>81</v>
      </c>
      <c r="J40" s="343"/>
    </row>
    <row r="41" spans="2:10" x14ac:dyDescent="0.2">
      <c r="B41" s="122">
        <v>36</v>
      </c>
      <c r="C41" s="69" t="s">
        <v>113</v>
      </c>
      <c r="D41" s="71"/>
      <c r="E41" s="90"/>
      <c r="F41" s="71"/>
      <c r="G41" s="73">
        <v>40.89</v>
      </c>
      <c r="H41" s="72">
        <v>0</v>
      </c>
      <c r="I41" s="74" t="s">
        <v>81</v>
      </c>
      <c r="J41" s="343"/>
    </row>
  </sheetData>
  <sheetProtection sheet="1" selectLockedCells="1"/>
  <mergeCells count="1">
    <mergeCell ref="B3:I3"/>
  </mergeCells>
  <phoneticPr fontId="15" type="noConversion"/>
  <pageMargins left="0.7" right="0.7" top="0.75" bottom="0.75" header="0.3" footer="0.3"/>
  <pageSetup paperSize="9" scale="98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>
    <tabColor rgb="FFFFFF00"/>
    <pageSetUpPr fitToPage="1"/>
  </sheetPr>
  <dimension ref="A1:M42"/>
  <sheetViews>
    <sheetView tabSelected="1" zoomScale="80" zoomScaleNormal="80" zoomScaleSheetLayoutView="115" workbookViewId="0">
      <selection activeCell="D8" sqref="D8"/>
    </sheetView>
  </sheetViews>
  <sheetFormatPr defaultColWidth="9.140625" defaultRowHeight="12.75" x14ac:dyDescent="0.25"/>
  <cols>
    <col min="1" max="1" width="2.7109375" style="123" customWidth="1"/>
    <col min="2" max="2" width="34.5703125" style="123" bestFit="1" customWidth="1"/>
    <col min="3" max="3" width="9.85546875" style="123" bestFit="1" customWidth="1"/>
    <col min="4" max="4" width="23.85546875" style="124" bestFit="1" customWidth="1"/>
    <col min="5" max="5" width="26.42578125" style="152" bestFit="1" customWidth="1"/>
    <col min="6" max="6" width="36.28515625" style="123" bestFit="1" customWidth="1"/>
    <col min="7" max="7" width="25.28515625" style="123" bestFit="1" customWidth="1"/>
    <col min="8" max="8" width="34.5703125" style="123" bestFit="1" customWidth="1"/>
    <col min="9" max="9" width="28" style="123" bestFit="1" customWidth="1"/>
    <col min="10" max="12" width="33.5703125" style="123" bestFit="1" customWidth="1"/>
    <col min="13" max="13" width="33.7109375" style="123" bestFit="1" customWidth="1"/>
    <col min="14" max="16384" width="9.140625" style="123"/>
  </cols>
  <sheetData>
    <row r="1" spans="1:13" ht="18" customHeight="1" x14ac:dyDescent="0.25">
      <c r="B1" s="34"/>
      <c r="C1" s="34"/>
      <c r="E1" s="125"/>
      <c r="F1" s="34"/>
      <c r="G1" s="34"/>
      <c r="H1" s="34"/>
      <c r="I1" s="34"/>
      <c r="J1" s="34"/>
    </row>
    <row r="2" spans="1:13" ht="21.75" customHeight="1" x14ac:dyDescent="0.25">
      <c r="B2" s="53" t="s">
        <v>3</v>
      </c>
      <c r="C2" s="34"/>
      <c r="E2" s="125"/>
      <c r="F2" s="34"/>
      <c r="G2" s="34"/>
      <c r="H2" s="34"/>
      <c r="I2" s="34"/>
      <c r="J2" s="34"/>
    </row>
    <row r="3" spans="1:13" ht="15" customHeight="1" thickBot="1" x14ac:dyDescent="0.3">
      <c r="B3" s="34"/>
      <c r="C3" s="34"/>
      <c r="E3" s="125"/>
      <c r="F3" s="34"/>
      <c r="G3" s="34"/>
      <c r="H3" s="34"/>
      <c r="I3" s="34"/>
      <c r="J3" s="34"/>
    </row>
    <row r="4" spans="1:13" ht="15" customHeight="1" x14ac:dyDescent="0.25">
      <c r="B4" s="1" t="s">
        <v>2</v>
      </c>
      <c r="C4" s="126"/>
      <c r="D4" s="127"/>
      <c r="E4" s="127"/>
      <c r="F4" s="127"/>
      <c r="G4" s="127"/>
      <c r="H4" s="127"/>
      <c r="I4" s="127"/>
      <c r="J4" s="127"/>
      <c r="K4" s="127"/>
      <c r="L4" s="127"/>
      <c r="M4" s="128"/>
    </row>
    <row r="5" spans="1:13" ht="15" customHeight="1" x14ac:dyDescent="0.25">
      <c r="B5" s="129" t="s">
        <v>6</v>
      </c>
      <c r="C5" s="130"/>
      <c r="D5" s="131">
        <v>1</v>
      </c>
      <c r="E5" s="132">
        <v>2</v>
      </c>
      <c r="F5" s="131">
        <v>3</v>
      </c>
      <c r="G5" s="131">
        <v>4</v>
      </c>
      <c r="H5" s="131">
        <v>5</v>
      </c>
      <c r="I5" s="131">
        <v>6</v>
      </c>
      <c r="J5" s="131">
        <v>7</v>
      </c>
      <c r="K5" s="131">
        <v>8</v>
      </c>
      <c r="L5" s="131">
        <v>9</v>
      </c>
      <c r="M5" s="133">
        <v>10</v>
      </c>
    </row>
    <row r="6" spans="1:13" ht="15" customHeight="1" x14ac:dyDescent="0.25">
      <c r="B6" s="134" t="s">
        <v>58</v>
      </c>
      <c r="C6" s="135"/>
      <c r="D6" s="136" t="str">
        <f>IFERROR(VLOOKUP(D$5,'Osnovni podatki'!$B$6:$I$41,2,FALSE),"")</f>
        <v>SE Mladinski center</v>
      </c>
      <c r="E6" s="136" t="str">
        <f>IFERROR(VLOOKUP(E$5,'Osnovni podatki'!$B$6:$I$41,2,FALSE),"")</f>
        <v>SE Kulturni dom Dobova 1</v>
      </c>
      <c r="F6" s="136" t="str">
        <f>IFERROR(VLOOKUP(F$5,'Osnovni podatki'!$B$6:$I$41,2,FALSE),"")</f>
        <v>SE Podružnica šola Kapele</v>
      </c>
      <c r="G6" s="136" t="str">
        <f>IFERROR(VLOOKUP(G$5,'Osnovni podatki'!$B$6:$I$41,2,FALSE),"")</f>
        <v>SE Stadion Brežice 1</v>
      </c>
      <c r="H6" s="136" t="str">
        <f>IFERROR(VLOOKUP(H$5,'Osnovni podatki'!$B$6:$I$41,2,FALSE),"")</f>
        <v>SE Osnovna šola Artiče - črpališče</v>
      </c>
      <c r="I6" s="136" t="str">
        <f>IFERROR(VLOOKUP(I$5,'Osnovni podatki'!$B$6:$I$41,2,FALSE),"")</f>
        <v>SE Prosvetni dom Artiče</v>
      </c>
      <c r="J6" s="136" t="str">
        <f>IFERROR(VLOOKUP(J$5,'Osnovni podatki'!$B$6:$I$41,2,FALSE),"")</f>
        <v>SE Zdravstvena postaja Bizeljsko</v>
      </c>
      <c r="K6" s="136" t="str">
        <f>IFERROR(VLOOKUP(K$5,'Osnovni podatki'!$B$6:$I$41,2,FALSE),"")</f>
        <v>SE Osnovna šola Velika Dolina 1</v>
      </c>
      <c r="L6" s="136" t="str">
        <f>IFERROR(VLOOKUP(L$5,'Osnovni podatki'!$B$6:$I$41,2,FALSE),"")</f>
        <v>SE Osnovna šola Dobova 1</v>
      </c>
      <c r="M6" s="137" t="str">
        <f>IFERROR(VLOOKUP(M$5,'Osnovni podatki'!$B$6:$I$41,2,FALSE),"")</f>
        <v>SE Dom krajanov Velike Malence</v>
      </c>
    </row>
    <row r="7" spans="1:13" ht="15" customHeight="1" x14ac:dyDescent="0.25">
      <c r="B7" s="134" t="s">
        <v>57</v>
      </c>
      <c r="C7" s="138"/>
      <c r="D7" s="139" t="str">
        <f>IFERROR(VLOOKUP(D$5,'Osnovni podatki'!$B$6:$I$41,8,FALSE),"")</f>
        <v>IS</v>
      </c>
      <c r="E7" s="139" t="str">
        <f>IFERROR(VLOOKUP(E$5,'Osnovni podatki'!$B$6:$I$41,8,FALSE),"")</f>
        <v>IS</v>
      </c>
      <c r="F7" s="139" t="str">
        <f>IFERROR(VLOOKUP(F$5,'Osnovni podatki'!$B$6:$I$41,8,FALSE),"")</f>
        <v>IS</v>
      </c>
      <c r="G7" s="139" t="str">
        <f>IFERROR(VLOOKUP(G$5,'Osnovni podatki'!$B$6:$I$41,8,FALSE),"")</f>
        <v>IS</v>
      </c>
      <c r="H7" s="139" t="str">
        <f>IFERROR(VLOOKUP(H$5,'Osnovni podatki'!$B$6:$I$41,8,FALSE),"")</f>
        <v>IS</v>
      </c>
      <c r="I7" s="139" t="str">
        <f>IFERROR(VLOOKUP(I$5,'Osnovni podatki'!$B$6:$I$41,8,FALSE),"")</f>
        <v>IS</v>
      </c>
      <c r="J7" s="139" t="str">
        <f>IFERROR(VLOOKUP(J$5,'Osnovni podatki'!$B$6:$I$41,8,FALSE),"")</f>
        <v>IS</v>
      </c>
      <c r="K7" s="139" t="str">
        <f>IFERROR(VLOOKUP(K$5,'Osnovni podatki'!$B$6:$I$41,8,FALSE),"")</f>
        <v>IS</v>
      </c>
      <c r="L7" s="139" t="str">
        <f>IFERROR(VLOOKUP(L$5,'Osnovni podatki'!$B$6:$I$41,8,FALSE),"")</f>
        <v>IS</v>
      </c>
      <c r="M7" s="140" t="str">
        <f>IFERROR(VLOOKUP(M$5,'Osnovni podatki'!$B$6:$I$41,8,FALSE),"")</f>
        <v>IS</v>
      </c>
    </row>
    <row r="8" spans="1:13" ht="15" customHeight="1" thickBot="1" x14ac:dyDescent="0.3">
      <c r="B8" s="134" t="s">
        <v>63</v>
      </c>
      <c r="C8" s="138"/>
      <c r="D8" s="86" t="s">
        <v>149</v>
      </c>
      <c r="E8" s="87" t="s">
        <v>150</v>
      </c>
      <c r="F8" s="86" t="s">
        <v>151</v>
      </c>
      <c r="G8" s="86" t="s">
        <v>152</v>
      </c>
      <c r="H8" s="86" t="s">
        <v>153</v>
      </c>
      <c r="I8" s="86" t="s">
        <v>154</v>
      </c>
      <c r="J8" s="86" t="s">
        <v>155</v>
      </c>
      <c r="K8" s="86" t="s">
        <v>156</v>
      </c>
      <c r="L8" s="86" t="s">
        <v>157</v>
      </c>
      <c r="M8" s="88" t="s">
        <v>158</v>
      </c>
    </row>
    <row r="9" spans="1:13" ht="15" customHeight="1" x14ac:dyDescent="0.25">
      <c r="B9" s="141" t="s">
        <v>26</v>
      </c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144"/>
    </row>
    <row r="10" spans="1:13" ht="15" customHeight="1" x14ac:dyDescent="0.25">
      <c r="B10" s="145" t="s">
        <v>62</v>
      </c>
      <c r="C10" s="146" t="s">
        <v>60</v>
      </c>
      <c r="D10" s="147">
        <f>IFERROR(VLOOKUP(D$5,'Osnovni podatki'!$B$6:$I$41,6,FALSE),"")</f>
        <v>24.8</v>
      </c>
      <c r="E10" s="147">
        <f>IFERROR(VLOOKUP(E$5,'Osnovni podatki'!$B$6:$I$41,6,FALSE),"")</f>
        <v>13.7</v>
      </c>
      <c r="F10" s="147">
        <f>IFERROR(VLOOKUP(F$5,'Osnovni podatki'!$B$6:$I$41,6,FALSE),"")</f>
        <v>52.43</v>
      </c>
      <c r="G10" s="147">
        <f>IFERROR(VLOOKUP(G$5,'Osnovni podatki'!$B$6:$I$41,6,FALSE),"")</f>
        <v>14.36</v>
      </c>
      <c r="H10" s="147">
        <f>IFERROR(VLOOKUP(H$5,'Osnovni podatki'!$B$6:$I$41,6,FALSE),"")</f>
        <v>14</v>
      </c>
      <c r="I10" s="147">
        <f>IFERROR(VLOOKUP(I$5,'Osnovni podatki'!$B$6:$I$41,6,FALSE),"")</f>
        <v>18.600000000000001</v>
      </c>
      <c r="J10" s="147">
        <f>IFERROR(VLOOKUP(J$5,'Osnovni podatki'!$B$6:$I$41,6,FALSE),"")</f>
        <v>29.1</v>
      </c>
      <c r="K10" s="147">
        <f>IFERROR(VLOOKUP(K$5,'Osnovni podatki'!$B$6:$I$41,6,FALSE),"")</f>
        <v>26.9</v>
      </c>
      <c r="L10" s="147">
        <f>IFERROR(VLOOKUP(L$5,'Osnovni podatki'!$B$6:$I$41,6,FALSE),"")</f>
        <v>26</v>
      </c>
      <c r="M10" s="148">
        <f>IFERROR(VLOOKUP(M$5,'Osnovni podatki'!$B$6:$I$41,6,FALSE),"")</f>
        <v>7.6</v>
      </c>
    </row>
    <row r="11" spans="1:13" ht="15" customHeight="1" x14ac:dyDescent="0.25">
      <c r="A11" s="34" t="s">
        <v>142</v>
      </c>
      <c r="B11" s="149" t="s">
        <v>64</v>
      </c>
      <c r="C11" s="150" t="s">
        <v>27</v>
      </c>
      <c r="D11" s="95"/>
      <c r="E11" s="95">
        <f>D11</f>
        <v>0</v>
      </c>
      <c r="F11" s="95">
        <f t="shared" ref="F11:M11" si="0">E11</f>
        <v>0</v>
      </c>
      <c r="G11" s="95">
        <f t="shared" si="0"/>
        <v>0</v>
      </c>
      <c r="H11" s="95">
        <f t="shared" si="0"/>
        <v>0</v>
      </c>
      <c r="I11" s="95">
        <f t="shared" si="0"/>
        <v>0</v>
      </c>
      <c r="J11" s="95">
        <f t="shared" si="0"/>
        <v>0</v>
      </c>
      <c r="K11" s="95">
        <f t="shared" si="0"/>
        <v>0</v>
      </c>
      <c r="L11" s="95">
        <f t="shared" si="0"/>
        <v>0</v>
      </c>
      <c r="M11" s="95">
        <f t="shared" si="0"/>
        <v>0</v>
      </c>
    </row>
    <row r="12" spans="1:13" ht="15" customHeight="1" x14ac:dyDescent="0.25">
      <c r="B12" s="149" t="s">
        <v>65</v>
      </c>
      <c r="C12" s="150" t="s">
        <v>61</v>
      </c>
      <c r="D12" s="151">
        <f>IFERROR(D10*D11,"")</f>
        <v>0</v>
      </c>
      <c r="E12" s="151">
        <f t="shared" ref="E12:M12" si="1">IFERROR(E10*E11,"")</f>
        <v>0</v>
      </c>
      <c r="F12" s="151">
        <f t="shared" si="1"/>
        <v>0</v>
      </c>
      <c r="G12" s="151">
        <f t="shared" si="1"/>
        <v>0</v>
      </c>
      <c r="H12" s="151">
        <f t="shared" si="1"/>
        <v>0</v>
      </c>
      <c r="I12" s="151">
        <f t="shared" si="1"/>
        <v>0</v>
      </c>
      <c r="J12" s="151">
        <f t="shared" si="1"/>
        <v>0</v>
      </c>
      <c r="K12" s="151">
        <f t="shared" si="1"/>
        <v>0</v>
      </c>
      <c r="L12" s="151">
        <f t="shared" si="1"/>
        <v>0</v>
      </c>
      <c r="M12" s="148">
        <f t="shared" si="1"/>
        <v>0</v>
      </c>
    </row>
    <row r="13" spans="1:13" ht="15" customHeight="1" thickBot="1" x14ac:dyDescent="0.3">
      <c r="B13" s="34"/>
      <c r="C13" s="124"/>
      <c r="D13" s="123"/>
      <c r="E13" s="125"/>
      <c r="F13" s="34"/>
    </row>
    <row r="14" spans="1:13" ht="15" customHeight="1" x14ac:dyDescent="0.25">
      <c r="B14" s="1" t="s">
        <v>2</v>
      </c>
      <c r="C14" s="126"/>
      <c r="D14" s="127"/>
      <c r="E14" s="127"/>
      <c r="F14" s="127"/>
      <c r="G14" s="127"/>
      <c r="H14" s="127"/>
      <c r="I14" s="127"/>
      <c r="J14" s="127"/>
      <c r="K14" s="127"/>
      <c r="L14" s="127"/>
      <c r="M14" s="128"/>
    </row>
    <row r="15" spans="1:13" ht="15" customHeight="1" x14ac:dyDescent="0.25">
      <c r="B15" s="129" t="s">
        <v>6</v>
      </c>
      <c r="C15" s="130"/>
      <c r="D15" s="131">
        <v>11</v>
      </c>
      <c r="E15" s="132">
        <v>12</v>
      </c>
      <c r="F15" s="131">
        <v>13</v>
      </c>
      <c r="G15" s="132">
        <v>14</v>
      </c>
      <c r="H15" s="131">
        <v>15</v>
      </c>
      <c r="I15" s="132">
        <v>16</v>
      </c>
      <c r="J15" s="131">
        <v>17</v>
      </c>
      <c r="K15" s="132">
        <v>18</v>
      </c>
      <c r="L15" s="131">
        <v>19</v>
      </c>
      <c r="M15" s="133">
        <v>20</v>
      </c>
    </row>
    <row r="16" spans="1:13" ht="15" customHeight="1" x14ac:dyDescent="0.25">
      <c r="B16" s="134" t="s">
        <v>58</v>
      </c>
      <c r="C16" s="135"/>
      <c r="D16" s="136" t="str">
        <f>IFERROR(VLOOKUP(D$15,'Osnovni podatki'!$B$6:$I$41,2,FALSE),"")</f>
        <v>SE Občina Brežice (MC)</v>
      </c>
      <c r="E16" s="136" t="str">
        <f>IFERROR(VLOOKUP(E$15,'Osnovni podatki'!$B$6:$I$41,2,FALSE),"")</f>
        <v>SE Kulturni dom Dobova 2</v>
      </c>
      <c r="F16" s="136" t="str">
        <f>IFERROR(VLOOKUP(F$15,'Osnovni podatki'!$B$6:$I$41,2,FALSE),"")</f>
        <v>SE Stadion Brežice 2</v>
      </c>
      <c r="G16" s="136" t="str">
        <f>IFERROR(VLOOKUP(G$15,'Osnovni podatki'!$B$6:$I$41,2,FALSE),"")</f>
        <v>SE Osnovna šola Artiče 1</v>
      </c>
      <c r="H16" s="136" t="str">
        <f>IFERROR(VLOOKUP(H$15,'Osnovni podatki'!$B$6:$I$41,2,FALSE),"")</f>
        <v>SE Osnovna šola Artiče 2</v>
      </c>
      <c r="I16" s="136" t="str">
        <f>IFERROR(VLOOKUP(I$15,'Osnovni podatki'!$B$6:$I$41,2,FALSE),"")</f>
        <v>SE Zdravstveni dom Brežice</v>
      </c>
      <c r="J16" s="136" t="str">
        <f>IFERROR(VLOOKUP(J$15,'Osnovni podatki'!$B$6:$I$41,2,FALSE),"")</f>
        <v>SE Osnovna šola Brežice</v>
      </c>
      <c r="K16" s="136" t="str">
        <f>IFERROR(VLOOKUP(K$15,'Osnovni podatki'!$B$6:$I$41,2,FALSE),"")</f>
        <v>SE Vrtec Mavrica</v>
      </c>
      <c r="L16" s="136" t="str">
        <f>IFERROR(VLOOKUP(L$15,'Osnovni podatki'!$B$6:$I$41,2,FALSE),"")</f>
        <v>SE Osnovna šola Velika Dolina 2</v>
      </c>
      <c r="M16" s="137" t="str">
        <f>IFERROR(VLOOKUP(M$15,'Osnovni podatki'!$B$6:$I$41,2,FALSE),"")</f>
        <v>SE Osnovna šola Cerklje ob Krki</v>
      </c>
    </row>
    <row r="17" spans="2:13" ht="15" customHeight="1" x14ac:dyDescent="0.25">
      <c r="B17" s="134" t="s">
        <v>57</v>
      </c>
      <c r="C17" s="138"/>
      <c r="D17" s="139" t="str">
        <f>IFERROR(VLOOKUP(D$15,'Osnovni podatki'!$B$6:$I$41,8,FALSE),"")</f>
        <v>SS</v>
      </c>
      <c r="E17" s="139" t="str">
        <f>IFERROR(VLOOKUP(E$15,'Osnovni podatki'!$B$6:$I$41,8,FALSE),"")</f>
        <v>SS</v>
      </c>
      <c r="F17" s="139" t="str">
        <f>IFERROR(VLOOKUP(F$15,'Osnovni podatki'!$B$6:$I$41,8,FALSE),"")</f>
        <v>SS</v>
      </c>
      <c r="G17" s="139" t="str">
        <f>IFERROR(VLOOKUP(G$15,'Osnovni podatki'!$B$6:$I$41,8,FALSE),"")</f>
        <v>SS</v>
      </c>
      <c r="H17" s="139" t="str">
        <f>IFERROR(VLOOKUP(H$15,'Osnovni podatki'!$B$6:$I$41,8,FALSE),"")</f>
        <v>SS</v>
      </c>
      <c r="I17" s="139" t="str">
        <f>IFERROR(VLOOKUP(I$15,'Osnovni podatki'!$B$6:$I$41,8,FALSE),"")</f>
        <v>SS</v>
      </c>
      <c r="J17" s="139" t="str">
        <f>IFERROR(VLOOKUP(J$15,'Osnovni podatki'!$B$6:$I$41,8,FALSE),"")</f>
        <v>SS</v>
      </c>
      <c r="K17" s="139" t="str">
        <f>IFERROR(VLOOKUP(K$15,'Osnovni podatki'!$B$6:$I$41,8,FALSE),"")</f>
        <v>SS</v>
      </c>
      <c r="L17" s="139" t="str">
        <f>IFERROR(VLOOKUP(L$15,'Osnovni podatki'!$B$6:$I$41,8,FALSE),"")</f>
        <v>SS</v>
      </c>
      <c r="M17" s="140" t="str">
        <f>IFERROR(VLOOKUP(M$15,'Osnovni podatki'!$B$6:$I$41,8,FALSE),"")</f>
        <v>SS</v>
      </c>
    </row>
    <row r="18" spans="2:13" ht="15" customHeight="1" thickBot="1" x14ac:dyDescent="0.3">
      <c r="B18" s="134" t="s">
        <v>63</v>
      </c>
      <c r="C18" s="138"/>
      <c r="D18" s="86" t="s">
        <v>159</v>
      </c>
      <c r="E18" s="86" t="s">
        <v>160</v>
      </c>
      <c r="F18" s="86" t="s">
        <v>161</v>
      </c>
      <c r="G18" s="86" t="s">
        <v>162</v>
      </c>
      <c r="H18" s="86" t="s">
        <v>163</v>
      </c>
      <c r="I18" s="86" t="s">
        <v>164</v>
      </c>
      <c r="J18" s="86" t="s">
        <v>165</v>
      </c>
      <c r="K18" s="86" t="s">
        <v>166</v>
      </c>
      <c r="L18" s="86" t="s">
        <v>167</v>
      </c>
      <c r="M18" s="88" t="s">
        <v>168</v>
      </c>
    </row>
    <row r="19" spans="2:13" ht="15" customHeight="1" x14ac:dyDescent="0.25">
      <c r="B19" s="141" t="s">
        <v>26</v>
      </c>
      <c r="C19" s="142"/>
      <c r="D19" s="143"/>
      <c r="E19" s="143"/>
      <c r="F19" s="143"/>
      <c r="G19" s="143"/>
      <c r="H19" s="143"/>
      <c r="I19" s="143"/>
      <c r="J19" s="143"/>
      <c r="K19" s="143"/>
      <c r="L19" s="143"/>
      <c r="M19" s="144"/>
    </row>
    <row r="20" spans="2:13" ht="15" customHeight="1" x14ac:dyDescent="0.25">
      <c r="B20" s="145" t="s">
        <v>62</v>
      </c>
      <c r="C20" s="146" t="s">
        <v>60</v>
      </c>
      <c r="D20" s="147">
        <f>IFERROR(VLOOKUP(D$15,'Osnovni podatki'!$B$6:$I$41,6,FALSE),"")</f>
        <v>133.05000000000001</v>
      </c>
      <c r="E20" s="147">
        <f>IFERROR(VLOOKUP(E$15,'Osnovni podatki'!$B$6:$I$41,6,FALSE),"")</f>
        <v>1</v>
      </c>
      <c r="F20" s="147">
        <f>IFERROR(VLOOKUP(F$15,'Osnovni podatki'!$B$6:$I$41,6,FALSE),"")</f>
        <v>1</v>
      </c>
      <c r="G20" s="147">
        <f>IFERROR(VLOOKUP(G$15,'Osnovni podatki'!$B$6:$I$41,6,FALSE),"")</f>
        <v>289.74</v>
      </c>
      <c r="H20" s="147">
        <f>IFERROR(VLOOKUP(H$15,'Osnovni podatki'!$B$6:$I$41,6,FALSE),"")</f>
        <v>1</v>
      </c>
      <c r="I20" s="147">
        <f>IFERROR(VLOOKUP(I$15,'Osnovni podatki'!$B$6:$I$41,6,FALSE),"")</f>
        <v>220.61</v>
      </c>
      <c r="J20" s="147">
        <f>IFERROR(VLOOKUP(J$15,'Osnovni podatki'!$B$6:$I$41,6,FALSE),"")</f>
        <v>95.25</v>
      </c>
      <c r="K20" s="147">
        <f>IFERROR(VLOOKUP(K$15,'Osnovni podatki'!$B$6:$I$41,6,FALSE),"")</f>
        <v>328.23</v>
      </c>
      <c r="L20" s="147">
        <f>IFERROR(VLOOKUP(L$15,'Osnovni podatki'!$B$6:$I$41,6,FALSE),"")</f>
        <v>113.83</v>
      </c>
      <c r="M20" s="148">
        <f>IFERROR(VLOOKUP(M$15,'Osnovni podatki'!$B$6:$I$41,6,FALSE),"")</f>
        <v>265.51</v>
      </c>
    </row>
    <row r="21" spans="2:13" ht="15" customHeight="1" x14ac:dyDescent="0.25">
      <c r="B21" s="149" t="s">
        <v>64</v>
      </c>
      <c r="C21" s="150" t="s">
        <v>27</v>
      </c>
      <c r="D21" s="95">
        <f>D11</f>
        <v>0</v>
      </c>
      <c r="E21" s="95">
        <f>D21</f>
        <v>0</v>
      </c>
      <c r="F21" s="95">
        <f t="shared" ref="F21:M21" si="2">E21</f>
        <v>0</v>
      </c>
      <c r="G21" s="95">
        <f t="shared" si="2"/>
        <v>0</v>
      </c>
      <c r="H21" s="95">
        <f t="shared" si="2"/>
        <v>0</v>
      </c>
      <c r="I21" s="95">
        <f t="shared" si="2"/>
        <v>0</v>
      </c>
      <c r="J21" s="95">
        <f t="shared" si="2"/>
        <v>0</v>
      </c>
      <c r="K21" s="95">
        <f t="shared" si="2"/>
        <v>0</v>
      </c>
      <c r="L21" s="95">
        <f t="shared" si="2"/>
        <v>0</v>
      </c>
      <c r="M21" s="95">
        <f t="shared" si="2"/>
        <v>0</v>
      </c>
    </row>
    <row r="22" spans="2:13" x14ac:dyDescent="0.25">
      <c r="B22" s="149" t="s">
        <v>65</v>
      </c>
      <c r="C22" s="150" t="s">
        <v>61</v>
      </c>
      <c r="D22" s="151">
        <f>IFERROR(D20*D21,"")</f>
        <v>0</v>
      </c>
      <c r="E22" s="151">
        <f t="shared" ref="E22" si="3">IFERROR(E20*E21,"")</f>
        <v>0</v>
      </c>
      <c r="F22" s="151">
        <f t="shared" ref="F22" si="4">IFERROR(F20*F21,"")</f>
        <v>0</v>
      </c>
      <c r="G22" s="151">
        <f t="shared" ref="G22" si="5">IFERROR(G20*G21,"")</f>
        <v>0</v>
      </c>
      <c r="H22" s="151">
        <f t="shared" ref="H22" si="6">IFERROR(H20*H21,"")</f>
        <v>0</v>
      </c>
      <c r="I22" s="151">
        <f t="shared" ref="I22" si="7">IFERROR(I20*I21,"")</f>
        <v>0</v>
      </c>
      <c r="J22" s="151">
        <f t="shared" ref="J22" si="8">IFERROR(J20*J21,"")</f>
        <v>0</v>
      </c>
      <c r="K22" s="151">
        <f t="shared" ref="K22" si="9">IFERROR(K20*K21,"")</f>
        <v>0</v>
      </c>
      <c r="L22" s="151">
        <f t="shared" ref="L22" si="10">IFERROR(L20*L21,"")</f>
        <v>0</v>
      </c>
      <c r="M22" s="148">
        <f t="shared" ref="M22" si="11">IFERROR(M20*M21,"")</f>
        <v>0</v>
      </c>
    </row>
    <row r="23" spans="2:13" ht="13.5" thickBot="1" x14ac:dyDescent="0.3"/>
    <row r="24" spans="2:13" x14ac:dyDescent="0.25">
      <c r="B24" s="1" t="s">
        <v>2</v>
      </c>
      <c r="C24" s="126"/>
      <c r="D24" s="127"/>
      <c r="E24" s="127"/>
      <c r="F24" s="127"/>
      <c r="G24" s="127"/>
      <c r="H24" s="127"/>
      <c r="I24" s="127"/>
      <c r="J24" s="127"/>
      <c r="K24" s="127"/>
      <c r="L24" s="127"/>
      <c r="M24" s="128"/>
    </row>
    <row r="25" spans="2:13" x14ac:dyDescent="0.25">
      <c r="B25" s="129" t="s">
        <v>6</v>
      </c>
      <c r="C25" s="130"/>
      <c r="D25" s="131">
        <v>21</v>
      </c>
      <c r="E25" s="132">
        <v>22</v>
      </c>
      <c r="F25" s="131">
        <v>23</v>
      </c>
      <c r="G25" s="132">
        <v>24</v>
      </c>
      <c r="H25" s="131">
        <v>25</v>
      </c>
      <c r="I25" s="132">
        <v>26</v>
      </c>
      <c r="J25" s="131">
        <v>27</v>
      </c>
      <c r="K25" s="132">
        <v>28</v>
      </c>
      <c r="L25" s="131">
        <v>29</v>
      </c>
      <c r="M25" s="133">
        <v>30</v>
      </c>
    </row>
    <row r="26" spans="2:13" ht="15" x14ac:dyDescent="0.25">
      <c r="B26" s="134" t="s">
        <v>58</v>
      </c>
      <c r="C26" s="135"/>
      <c r="D26" s="136" t="str">
        <f>IFERROR(VLOOKUP(D$25,'Osnovni podatki'!$B$6:$I$41,2,FALSE),"")</f>
        <v>SE Dom Kulture Brežice</v>
      </c>
      <c r="E26" s="136" t="str">
        <f>IFERROR(VLOOKUP(E$25,'Osnovni podatki'!$B$6:$I$41,2,FALSE),"")</f>
        <v>SE Knjižnica Brežice</v>
      </c>
      <c r="F26" s="136" t="str">
        <f>IFERROR(VLOOKUP(F$25,'Osnovni podatki'!$B$6:$I$41,2,FALSE),"")</f>
        <v>SE Osnovna šola Bizeljsko</v>
      </c>
      <c r="G26" s="136" t="str">
        <f>IFERROR(VLOOKUP(G$25,'Osnovni podatki'!$B$6:$I$41,2,FALSE),"")</f>
        <v>SE Osnovna šola Pišece</v>
      </c>
      <c r="H26" s="136" t="str">
        <f>IFERROR(VLOOKUP(H$25,'Osnovni podatki'!$B$6:$I$41,2,FALSE),"")</f>
        <v>SE Osnovna šola Dobova 2</v>
      </c>
      <c r="I26" s="136" t="str">
        <f>IFERROR(VLOOKUP(I$25,'Osnovni podatki'!$B$6:$I$41,2,FALSE),"")</f>
        <v>SE ŠD Brežice</v>
      </c>
      <c r="J26" s="136" t="str">
        <f>IFERROR(VLOOKUP(J$25,'Osnovni podatki'!$B$6:$I$41,2,FALSE),"")</f>
        <v>Čistilna naprava Brežice</v>
      </c>
      <c r="K26" s="136" t="str">
        <f>IFERROR(VLOOKUP(K$25,'Osnovni podatki'!$B$6:$I$41,2,FALSE),"")</f>
        <v>Občinska stavba. CPB 18, Brežice</v>
      </c>
      <c r="L26" s="136" t="str">
        <f>IFERROR(VLOOKUP(L$25,'Osnovni podatki'!$B$6:$I$41,2,FALSE),"")</f>
        <v>Mestna hiša CPB</v>
      </c>
      <c r="M26" s="137" t="str">
        <f>IFERROR(VLOOKUP(M$25,'Osnovni podatki'!$B$6:$I$41,2,FALSE),"")</f>
        <v>Glasbena šola Brežice</v>
      </c>
    </row>
    <row r="27" spans="2:13" ht="15" x14ac:dyDescent="0.25">
      <c r="B27" s="134" t="s">
        <v>57</v>
      </c>
      <c r="C27" s="138"/>
      <c r="D27" s="139" t="str">
        <f>IFERROR(VLOOKUP(D$25,'Osnovni podatki'!$B$6:$I$41,8,FALSE),"")</f>
        <v>SS</v>
      </c>
      <c r="E27" s="139" t="str">
        <f>IFERROR(VLOOKUP(E$25,'Osnovni podatki'!$B$6:$I$41,8,FALSE),"")</f>
        <v>SS</v>
      </c>
      <c r="F27" s="139" t="str">
        <f>IFERROR(VLOOKUP(F$25,'Osnovni podatki'!$B$6:$I$41,8,FALSE),"")</f>
        <v>SS</v>
      </c>
      <c r="G27" s="139" t="str">
        <f>IFERROR(VLOOKUP(G$25,'Osnovni podatki'!$B$6:$I$41,8,FALSE),"")</f>
        <v>SS</v>
      </c>
      <c r="H27" s="139" t="str">
        <f>IFERROR(VLOOKUP(H$25,'Osnovni podatki'!$B$6:$I$41,8,FALSE),"")</f>
        <v>SS</v>
      </c>
      <c r="I27" s="139" t="str">
        <f>IFERROR(VLOOKUP(I$25,'Osnovni podatki'!$B$6:$I$41,8,FALSE),"")</f>
        <v>SS</v>
      </c>
      <c r="J27" s="139" t="str">
        <f>IFERROR(VLOOKUP(J$25,'Osnovni podatki'!$B$6:$I$41,8,FALSE),"")</f>
        <v>SS</v>
      </c>
      <c r="K27" s="139" t="str">
        <f>IFERROR(VLOOKUP(K$25,'Osnovni podatki'!$B$6:$I$41,8,FALSE),"")</f>
        <v>SS</v>
      </c>
      <c r="L27" s="139" t="str">
        <f>IFERROR(VLOOKUP(L$25,'Osnovni podatki'!$B$6:$I$41,8,FALSE),"")</f>
        <v>SS</v>
      </c>
      <c r="M27" s="140" t="str">
        <f>IFERROR(VLOOKUP(M$25,'Osnovni podatki'!$B$6:$I$41,8,FALSE),"")</f>
        <v>SS</v>
      </c>
    </row>
    <row r="28" spans="2:13" ht="13.5" thickBot="1" x14ac:dyDescent="0.3">
      <c r="B28" s="134" t="s">
        <v>63</v>
      </c>
      <c r="C28" s="138"/>
      <c r="D28" s="86" t="s">
        <v>169</v>
      </c>
      <c r="E28" s="87" t="s">
        <v>170</v>
      </c>
      <c r="F28" s="86" t="s">
        <v>171</v>
      </c>
      <c r="G28" s="86" t="s">
        <v>172</v>
      </c>
      <c r="H28" s="86" t="s">
        <v>173</v>
      </c>
      <c r="I28" s="86" t="s">
        <v>174</v>
      </c>
      <c r="J28" s="77"/>
      <c r="K28" s="77"/>
      <c r="L28" s="77"/>
      <c r="M28" s="76"/>
    </row>
    <row r="29" spans="2:13" x14ac:dyDescent="0.25">
      <c r="B29" s="141" t="s">
        <v>26</v>
      </c>
      <c r="C29" s="142"/>
      <c r="D29" s="143"/>
      <c r="E29" s="143"/>
      <c r="F29" s="143"/>
      <c r="G29" s="143"/>
      <c r="H29" s="143"/>
      <c r="I29" s="143"/>
      <c r="J29" s="143"/>
      <c r="K29" s="143"/>
      <c r="L29" s="143"/>
      <c r="M29" s="144"/>
    </row>
    <row r="30" spans="2:13" x14ac:dyDescent="0.25">
      <c r="B30" s="145" t="s">
        <v>62</v>
      </c>
      <c r="C30" s="146" t="s">
        <v>60</v>
      </c>
      <c r="D30" s="147">
        <f>IFERROR(VLOOKUP(D$25,'Osnovni podatki'!$B$6:$I$41,6,FALSE),"")</f>
        <v>36.380000000000003</v>
      </c>
      <c r="E30" s="147">
        <f>IFERROR(VLOOKUP(E$25,'Osnovni podatki'!$B$6:$I$41,6,FALSE),"")</f>
        <v>110.55</v>
      </c>
      <c r="F30" s="147">
        <f>IFERROR(VLOOKUP(F$25,'Osnovni podatki'!$B$6:$I$41,6,FALSE),"")</f>
        <v>124.83</v>
      </c>
      <c r="G30" s="147">
        <f>IFERROR(VLOOKUP(G$25,'Osnovni podatki'!$B$6:$I$41,6,FALSE),"")</f>
        <v>89</v>
      </c>
      <c r="H30" s="147">
        <f>IFERROR(VLOOKUP(H$25,'Osnovni podatki'!$B$6:$I$41,6,FALSE),"")</f>
        <v>103.16</v>
      </c>
      <c r="I30" s="147">
        <f>IFERROR(VLOOKUP(I$25,'Osnovni podatki'!$B$6:$I$41,6,FALSE),"")</f>
        <v>327.17</v>
      </c>
      <c r="J30" s="147">
        <f>IFERROR(VLOOKUP(J$25,'Osnovni podatki'!$B$6:$I$41,6,FALSE),"")</f>
        <v>263.27</v>
      </c>
      <c r="K30" s="147">
        <f>IFERROR(VLOOKUP(K$25,'Osnovni podatki'!$B$6:$I$41,6,FALSE),"")</f>
        <v>149.75</v>
      </c>
      <c r="L30" s="147">
        <f>IFERROR(VLOOKUP(L$25,'Osnovni podatki'!$B$6:$I$41,6,FALSE),"")</f>
        <v>12.76</v>
      </c>
      <c r="M30" s="148">
        <f>IFERROR(VLOOKUP(M$25,'Osnovni podatki'!$B$6:$I$41,6,FALSE),"")</f>
        <v>40.29</v>
      </c>
    </row>
    <row r="31" spans="2:13" x14ac:dyDescent="0.25">
      <c r="B31" s="149" t="s">
        <v>64</v>
      </c>
      <c r="C31" s="150" t="s">
        <v>27</v>
      </c>
      <c r="D31" s="95">
        <f>D21</f>
        <v>0</v>
      </c>
      <c r="E31" s="95">
        <f>D31</f>
        <v>0</v>
      </c>
      <c r="F31" s="95">
        <f t="shared" ref="F31:M31" si="12">E31</f>
        <v>0</v>
      </c>
      <c r="G31" s="95">
        <f t="shared" si="12"/>
        <v>0</v>
      </c>
      <c r="H31" s="95">
        <f t="shared" si="12"/>
        <v>0</v>
      </c>
      <c r="I31" s="95">
        <f t="shared" si="12"/>
        <v>0</v>
      </c>
      <c r="J31" s="95">
        <f t="shared" si="12"/>
        <v>0</v>
      </c>
      <c r="K31" s="95">
        <f t="shared" si="12"/>
        <v>0</v>
      </c>
      <c r="L31" s="95">
        <f t="shared" si="12"/>
        <v>0</v>
      </c>
      <c r="M31" s="95">
        <f t="shared" si="12"/>
        <v>0</v>
      </c>
    </row>
    <row r="32" spans="2:13" x14ac:dyDescent="0.25">
      <c r="B32" s="149" t="s">
        <v>65</v>
      </c>
      <c r="C32" s="150" t="s">
        <v>61</v>
      </c>
      <c r="D32" s="151">
        <f>IFERROR(D30*D31,"")</f>
        <v>0</v>
      </c>
      <c r="E32" s="151">
        <f t="shared" ref="E32" si="13">IFERROR(E30*E31,"")</f>
        <v>0</v>
      </c>
      <c r="F32" s="151">
        <f t="shared" ref="F32" si="14">IFERROR(F30*F31,"")</f>
        <v>0</v>
      </c>
      <c r="G32" s="151">
        <f t="shared" ref="G32" si="15">IFERROR(G30*G31,"")</f>
        <v>0</v>
      </c>
      <c r="H32" s="151">
        <f t="shared" ref="H32" si="16">IFERROR(H30*H31,"")</f>
        <v>0</v>
      </c>
      <c r="I32" s="151">
        <f t="shared" ref="I32" si="17">IFERROR(I30*I31,"")</f>
        <v>0</v>
      </c>
      <c r="J32" s="151">
        <f t="shared" ref="J32" si="18">IFERROR(J30*J31,"")</f>
        <v>0</v>
      </c>
      <c r="K32" s="151">
        <f t="shared" ref="K32" si="19">IFERROR(K30*K31,"")</f>
        <v>0</v>
      </c>
      <c r="L32" s="151">
        <f t="shared" ref="L32" si="20">IFERROR(L30*L31,"")</f>
        <v>0</v>
      </c>
      <c r="M32" s="148">
        <f t="shared" ref="M32" si="21">IFERROR(M30*M31,"")</f>
        <v>0</v>
      </c>
    </row>
    <row r="33" spans="2:13" ht="13.5" thickBot="1" x14ac:dyDescent="0.3"/>
    <row r="34" spans="2:13" x14ac:dyDescent="0.25">
      <c r="B34" s="1" t="s">
        <v>2</v>
      </c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8"/>
    </row>
    <row r="35" spans="2:13" x14ac:dyDescent="0.25">
      <c r="B35" s="129" t="s">
        <v>6</v>
      </c>
      <c r="C35" s="130"/>
      <c r="D35" s="131">
        <v>31</v>
      </c>
      <c r="E35" s="132">
        <v>32</v>
      </c>
      <c r="F35" s="131">
        <v>33</v>
      </c>
      <c r="G35" s="132">
        <v>34</v>
      </c>
      <c r="H35" s="131">
        <v>35</v>
      </c>
      <c r="I35" s="132">
        <v>36</v>
      </c>
      <c r="J35" s="131">
        <v>37</v>
      </c>
      <c r="K35" s="132">
        <v>38</v>
      </c>
      <c r="L35" s="131">
        <v>39</v>
      </c>
      <c r="M35" s="133">
        <v>40</v>
      </c>
    </row>
    <row r="36" spans="2:13" ht="15" x14ac:dyDescent="0.25">
      <c r="B36" s="134" t="s">
        <v>58</v>
      </c>
      <c r="C36" s="135"/>
      <c r="D36" s="136" t="str">
        <f>IFERROR(VLOOKUP(D$35,'Osnovni podatki'!$B$6:$I$41,2,FALSE),"")</f>
        <v xml:space="preserve">Večgeneracijski center </v>
      </c>
      <c r="E36" s="136" t="str">
        <f>IFERROR(VLOOKUP(E$35,'Osnovni podatki'!$B$6:$I$41,2,FALSE),"")</f>
        <v>Balon</v>
      </c>
      <c r="F36" s="136" t="str">
        <f>IFERROR(VLOOKUP(F$35,'Osnovni podatki'!$B$6:$I$41,2,FALSE),"")</f>
        <v>ŠD Dobova</v>
      </c>
      <c r="G36" s="136" t="str">
        <f>IFERROR(VLOOKUP(G$35,'Osnovni podatki'!$B$6:$I$41,2,FALSE),"")</f>
        <v>Lekarna Brežice, Černelčeva cesta 8</v>
      </c>
      <c r="H36" s="136" t="str">
        <f>IFERROR(VLOOKUP(H$35,'Osnovni podatki'!$B$6:$I$41,2,FALSE),"")</f>
        <v>Osnovna šola Globoko</v>
      </c>
      <c r="I36" s="136" t="str">
        <f>IFERROR(VLOOKUP(I$35,'Osnovni podatki'!$B$6:$I$41,2,FALSE),"")</f>
        <v>Vrtec Dobova</v>
      </c>
      <c r="J36" s="136" t="str">
        <f>IFERROR(VLOOKUP(J$35,'Osnovni podatki'!$B$6:$I$41,2,FALSE),"")</f>
        <v/>
      </c>
      <c r="K36" s="136" t="str">
        <f>IFERROR(VLOOKUP(K$35,'Osnovni podatki'!$B$6:$I$41,2,FALSE),"")</f>
        <v/>
      </c>
      <c r="L36" s="136" t="str">
        <f>IFERROR(VLOOKUP(L$35,'Osnovni podatki'!$B$6:$I$41,2,FALSE),"")</f>
        <v/>
      </c>
      <c r="M36" s="137" t="str">
        <f>IFERROR(VLOOKUP(M$35,'Osnovni podatki'!$B$6:$I$41,2,FALSE),"")</f>
        <v/>
      </c>
    </row>
    <row r="37" spans="2:13" ht="15" x14ac:dyDescent="0.25">
      <c r="B37" s="134" t="s">
        <v>57</v>
      </c>
      <c r="C37" s="138"/>
      <c r="D37" s="139" t="str">
        <f>IFERROR(VLOOKUP(D$35,'Osnovni podatki'!$B$6:$I$41,8,FALSE),"")</f>
        <v>SS</v>
      </c>
      <c r="E37" s="139" t="str">
        <f>IFERROR(VLOOKUP(E$35,'Osnovni podatki'!$B$6:$I$41,8,FALSE),"")</f>
        <v>SS</v>
      </c>
      <c r="F37" s="139" t="str">
        <f>IFERROR(VLOOKUP(F$35,'Osnovni podatki'!$B$6:$I$41,8,FALSE),"")</f>
        <v>SS</v>
      </c>
      <c r="G37" s="139" t="str">
        <f>IFERROR(VLOOKUP(G$35,'Osnovni podatki'!$B$6:$I$41,8,FALSE),"")</f>
        <v>SS</v>
      </c>
      <c r="H37" s="139" t="str">
        <f>IFERROR(VLOOKUP(H$35,'Osnovni podatki'!$B$6:$I$41,8,FALSE),"")</f>
        <v>SS</v>
      </c>
      <c r="I37" s="139" t="str">
        <f>IFERROR(VLOOKUP(I$35,'Osnovni podatki'!$B$6:$I$41,8,FALSE),"")</f>
        <v>SS</v>
      </c>
      <c r="J37" s="139" t="str">
        <f>IFERROR(VLOOKUP(J$35,'Osnovni podatki'!$B$6:$I$41,8,FALSE),"")</f>
        <v/>
      </c>
      <c r="K37" s="139" t="str">
        <f>IFERROR(VLOOKUP(K$35,'Osnovni podatki'!$B$6:$I$41,8,FALSE),"")</f>
        <v/>
      </c>
      <c r="L37" s="139" t="str">
        <f>IFERROR(VLOOKUP(L$35,'Osnovni podatki'!$B$6:$I$41,8,FALSE),"")</f>
        <v/>
      </c>
      <c r="M37" s="140" t="str">
        <f>IFERROR(VLOOKUP(M$35,'Osnovni podatki'!$B$6:$I$41,8,FALSE),"")</f>
        <v/>
      </c>
    </row>
    <row r="38" spans="2:13" ht="13.5" thickBot="1" x14ac:dyDescent="0.3">
      <c r="B38" s="134" t="s">
        <v>63</v>
      </c>
      <c r="C38" s="138"/>
      <c r="D38" s="77"/>
      <c r="E38" s="75"/>
      <c r="F38" s="77"/>
      <c r="G38" s="77"/>
      <c r="H38" s="77"/>
      <c r="I38" s="77"/>
      <c r="J38" s="77"/>
      <c r="K38" s="77"/>
      <c r="L38" s="77"/>
      <c r="M38" s="76"/>
    </row>
    <row r="39" spans="2:13" x14ac:dyDescent="0.25">
      <c r="B39" s="141" t="s">
        <v>26</v>
      </c>
      <c r="C39" s="142"/>
      <c r="D39" s="143"/>
      <c r="E39" s="143"/>
      <c r="F39" s="143"/>
      <c r="G39" s="143"/>
      <c r="H39" s="143"/>
      <c r="I39" s="143"/>
      <c r="J39" s="143"/>
      <c r="K39" s="143"/>
      <c r="L39" s="143"/>
      <c r="M39" s="144"/>
    </row>
    <row r="40" spans="2:13" x14ac:dyDescent="0.25">
      <c r="B40" s="145" t="s">
        <v>62</v>
      </c>
      <c r="C40" s="146" t="s">
        <v>60</v>
      </c>
      <c r="D40" s="147">
        <f>IFERROR(VLOOKUP(D$35,'Osnovni podatki'!$B$6:$I$41,6,FALSE),"")</f>
        <v>21.64</v>
      </c>
      <c r="E40" s="147">
        <f>IFERROR(VLOOKUP(E$35,'Osnovni podatki'!$B$6:$I$41,6,FALSE),"")</f>
        <v>16.46</v>
      </c>
      <c r="F40" s="147">
        <f>IFERROR(VLOOKUP(F$35,'Osnovni podatki'!$B$6:$I$41,6,FALSE),"")</f>
        <v>41.29</v>
      </c>
      <c r="G40" s="147">
        <f>IFERROR(VLOOKUP(G$35,'Osnovni podatki'!$B$6:$I$41,6,FALSE),"")</f>
        <v>39.869999999999997</v>
      </c>
      <c r="H40" s="147">
        <f>IFERROR(VLOOKUP(H$35,'Osnovni podatki'!$B$6:$I$41,6,FALSE),"")</f>
        <v>82.12</v>
      </c>
      <c r="I40" s="147">
        <f>IFERROR(VLOOKUP(I$35,'Osnovni podatki'!$B$6:$I$41,6,FALSE),"")</f>
        <v>40.89</v>
      </c>
      <c r="J40" s="147" t="str">
        <f>IFERROR(VLOOKUP(J$35,'Osnovni podatki'!$B$6:$I$41,6,FALSE),"")</f>
        <v/>
      </c>
      <c r="K40" s="147" t="str">
        <f>IFERROR(VLOOKUP(K$35,'Osnovni podatki'!$B$6:$I$41,6,FALSE),"")</f>
        <v/>
      </c>
      <c r="L40" s="147" t="str">
        <f>IFERROR(VLOOKUP(L$35,'Osnovni podatki'!$B$6:$I$41,6,FALSE),"")</f>
        <v/>
      </c>
      <c r="M40" s="148" t="str">
        <f>IFERROR(VLOOKUP(M$35,'Osnovni podatki'!$B$6:$I$41,6,FALSE),"")</f>
        <v/>
      </c>
    </row>
    <row r="41" spans="2:13" x14ac:dyDescent="0.25">
      <c r="B41" s="149" t="s">
        <v>64</v>
      </c>
      <c r="C41" s="150" t="s">
        <v>27</v>
      </c>
      <c r="D41" s="95">
        <f>D31</f>
        <v>0</v>
      </c>
      <c r="E41" s="95">
        <f>D41</f>
        <v>0</v>
      </c>
      <c r="F41" s="95">
        <f t="shared" ref="F41:I41" si="22">E41</f>
        <v>0</v>
      </c>
      <c r="G41" s="95">
        <f t="shared" si="22"/>
        <v>0</v>
      </c>
      <c r="H41" s="95">
        <f t="shared" si="22"/>
        <v>0</v>
      </c>
      <c r="I41" s="95">
        <f t="shared" si="22"/>
        <v>0</v>
      </c>
      <c r="J41" s="95"/>
      <c r="K41" s="95"/>
      <c r="L41" s="95"/>
      <c r="M41" s="96"/>
    </row>
    <row r="42" spans="2:13" x14ac:dyDescent="0.25">
      <c r="B42" s="149" t="s">
        <v>65</v>
      </c>
      <c r="C42" s="150" t="s">
        <v>61</v>
      </c>
      <c r="D42" s="151">
        <f>IFERROR(D40*D41,"")</f>
        <v>0</v>
      </c>
      <c r="E42" s="151">
        <f t="shared" ref="E42" si="23">IFERROR(E40*E41,"")</f>
        <v>0</v>
      </c>
      <c r="F42" s="151">
        <f t="shared" ref="F42" si="24">IFERROR(F40*F41,"")</f>
        <v>0</v>
      </c>
      <c r="G42" s="151">
        <f t="shared" ref="G42" si="25">IFERROR(G40*G41,"")</f>
        <v>0</v>
      </c>
      <c r="H42" s="151">
        <f t="shared" ref="H42" si="26">IFERROR(H40*H41,"")</f>
        <v>0</v>
      </c>
      <c r="I42" s="151">
        <f t="shared" ref="I42" si="27">IFERROR(I40*I41,"")</f>
        <v>0</v>
      </c>
      <c r="J42" s="151" t="str">
        <f t="shared" ref="J42" si="28">IFERROR(J40*J41,"")</f>
        <v/>
      </c>
      <c r="K42" s="151" t="str">
        <f t="shared" ref="K42" si="29">IFERROR(K40*K41,"")</f>
        <v/>
      </c>
      <c r="L42" s="151" t="str">
        <f t="shared" ref="L42" si="30">IFERROR(L40*L41,"")</f>
        <v/>
      </c>
      <c r="M42" s="148" t="str">
        <f t="shared" ref="M42" si="31">IFERROR(M40*M41,"")</f>
        <v/>
      </c>
    </row>
  </sheetData>
  <sheetProtection sheet="1" selectLockedCells="1"/>
  <pageMargins left="0.7" right="0.7" top="0.75" bottom="0.75" header="0.3" footer="0.3"/>
  <pageSetup paperSize="9" scale="6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>
    <tabColor rgb="FFFFFF00"/>
    <pageSetUpPr fitToPage="1"/>
  </sheetPr>
  <dimension ref="A1:Y191"/>
  <sheetViews>
    <sheetView showGridLines="0" view="pageBreakPreview" zoomScale="85" zoomScaleNormal="100" zoomScaleSheetLayoutView="85" workbookViewId="0">
      <selection activeCell="D11" sqref="D11"/>
    </sheetView>
  </sheetViews>
  <sheetFormatPr defaultColWidth="9.140625" defaultRowHeight="12.75" x14ac:dyDescent="0.2"/>
  <cols>
    <col min="1" max="1" width="4.85546875" style="27" customWidth="1"/>
    <col min="2" max="2" width="43.5703125" style="27" customWidth="1"/>
    <col min="3" max="3" width="15" style="27" customWidth="1"/>
    <col min="4" max="4" width="18.85546875" style="27" customWidth="1"/>
    <col min="5" max="8" width="15" style="27" customWidth="1"/>
    <col min="9" max="9" width="8.28515625" style="27" customWidth="1"/>
    <col min="10" max="10" width="14.7109375" style="27" customWidth="1"/>
    <col min="11" max="11" width="13.85546875" style="27" customWidth="1"/>
    <col min="12" max="12" width="15.5703125" style="27" customWidth="1"/>
    <col min="13" max="13" width="16.140625" style="27" customWidth="1"/>
    <col min="14" max="14" width="18.42578125" style="27" customWidth="1"/>
    <col min="15" max="15" width="14.7109375" style="27" bestFit="1" customWidth="1"/>
    <col min="16" max="16" width="9.140625" style="27" customWidth="1"/>
    <col min="17" max="24" width="9.140625" style="27"/>
    <col min="25" max="25" width="14.5703125" style="27" bestFit="1" customWidth="1"/>
    <col min="26" max="16384" width="9.140625" style="27"/>
  </cols>
  <sheetData>
    <row r="1" spans="2:13" ht="14.1" customHeight="1" x14ac:dyDescent="0.2">
      <c r="B1" s="11"/>
      <c r="E1" s="11"/>
    </row>
    <row r="2" spans="2:13" ht="28.35" customHeight="1" x14ac:dyDescent="0.2">
      <c r="B2" s="53" t="s">
        <v>31</v>
      </c>
    </row>
    <row r="3" spans="2:13" ht="14.1" customHeight="1" x14ac:dyDescent="0.2"/>
    <row r="4" spans="2:13" ht="19.7" customHeight="1" thickBot="1" x14ac:dyDescent="0.25">
      <c r="B4" s="55" t="s">
        <v>2</v>
      </c>
    </row>
    <row r="5" spans="2:13" ht="18" customHeight="1" x14ac:dyDescent="0.2">
      <c r="B5" s="1" t="s">
        <v>32</v>
      </c>
      <c r="C5" s="29"/>
      <c r="D5" s="30"/>
    </row>
    <row r="6" spans="2:13" ht="18" customHeight="1" x14ac:dyDescent="0.2">
      <c r="B6" s="352" t="s">
        <v>6</v>
      </c>
      <c r="C6" s="353"/>
      <c r="D6" s="28">
        <v>1</v>
      </c>
      <c r="H6" s="154"/>
      <c r="J6" s="154"/>
      <c r="K6" s="154"/>
    </row>
    <row r="7" spans="2:13" ht="18" customHeight="1" x14ac:dyDescent="0.2">
      <c r="B7" s="155" t="s">
        <v>7</v>
      </c>
      <c r="C7" s="156"/>
      <c r="D7" s="157" t="str">
        <f ca="1">MID(CELL("filename", A1), FIND("]", CELL("filename", A1)) + 1, LEN(CELL("filename", A1)) - FIND("]", CELL("filename", A1)))</f>
        <v>IS01</v>
      </c>
      <c r="H7" s="154"/>
      <c r="J7" s="154"/>
      <c r="K7" s="154"/>
    </row>
    <row r="8" spans="2:13" ht="30" customHeight="1" thickBot="1" x14ac:dyDescent="0.25">
      <c r="B8" s="354" t="s">
        <v>58</v>
      </c>
      <c r="C8" s="355"/>
      <c r="D8" s="158" t="str">
        <f>INDEX('Referenčne količine'!$B$4:$M$12,MATCH($B8,('Referenčne količine'!$B$4:$B$12),0),MATCH($D$6,'Referenčne količine'!$B$5:$M$5,0))</f>
        <v>SE Mladinski center</v>
      </c>
      <c r="H8" s="154"/>
      <c r="J8" s="154"/>
      <c r="K8" s="154"/>
    </row>
    <row r="9" spans="2:13" ht="18.75" customHeight="1" x14ac:dyDescent="0.25">
      <c r="B9" s="159" t="s">
        <v>215</v>
      </c>
      <c r="C9" s="160"/>
      <c r="D9" s="161"/>
      <c r="H9" s="154"/>
      <c r="J9"/>
      <c r="K9" s="162"/>
      <c r="L9"/>
      <c r="M9"/>
    </row>
    <row r="10" spans="2:13" ht="18.75" customHeight="1" x14ac:dyDescent="0.25">
      <c r="B10" s="163" t="s">
        <v>62</v>
      </c>
      <c r="C10" s="164" t="s">
        <v>60</v>
      </c>
      <c r="D10" s="165">
        <f>INDEX('Referenčne količine'!$B$9:$M$12,MATCH(B10,('Referenčne količine'!$B$9:$B$12),0),MATCH($D$6,'Referenčne količine'!$B$5:$M$5,0))</f>
        <v>24.8</v>
      </c>
      <c r="H10" s="154"/>
      <c r="J10"/>
      <c r="K10" s="162"/>
      <c r="L10"/>
      <c r="M10"/>
    </row>
    <row r="11" spans="2:13" ht="18.75" customHeight="1" x14ac:dyDescent="0.25">
      <c r="B11" s="163" t="s">
        <v>148</v>
      </c>
      <c r="C11" s="164" t="s">
        <v>46</v>
      </c>
      <c r="D11" s="80"/>
      <c r="H11" s="154"/>
      <c r="J11" s="162"/>
      <c r="K11" s="162"/>
      <c r="L11"/>
      <c r="M11"/>
    </row>
    <row r="12" spans="2:13" ht="18.75" customHeight="1" x14ac:dyDescent="0.25">
      <c r="B12" s="163" t="s">
        <v>64</v>
      </c>
      <c r="C12" s="164" t="s">
        <v>27</v>
      </c>
      <c r="D12" s="165">
        <f>INDEX('Referenčne količine'!$B$9:$M$12,MATCH(B12,('Referenčne količine'!$B$9:$B$12),0),MATCH($D$6,'Referenčne količine'!$B$5:$M$5,0))</f>
        <v>0</v>
      </c>
      <c r="J12"/>
      <c r="K12"/>
      <c r="L12"/>
      <c r="M12"/>
    </row>
    <row r="13" spans="2:13" ht="18.75" customHeight="1" x14ac:dyDescent="0.25">
      <c r="B13" s="163" t="s">
        <v>65</v>
      </c>
      <c r="C13" s="164" t="s">
        <v>61</v>
      </c>
      <c r="D13" s="165">
        <f>INDEX('Referenčne količine'!$B$9:$M$12,MATCH(B13,('Referenčne količine'!$B$9:$B$12),0),MATCH($D$6,'Referenčne količine'!$B$5:$M$5,0))</f>
        <v>0</v>
      </c>
      <c r="J13"/>
      <c r="K13"/>
      <c r="L13"/>
      <c r="M13"/>
    </row>
    <row r="14" spans="2:13" ht="18.75" customHeight="1" thickBot="1" x14ac:dyDescent="0.3">
      <c r="B14" s="166" t="s">
        <v>145</v>
      </c>
      <c r="C14" s="167" t="s">
        <v>27</v>
      </c>
      <c r="D14" s="153"/>
      <c r="J14"/>
      <c r="K14"/>
      <c r="L14"/>
      <c r="M14"/>
    </row>
    <row r="15" spans="2:13" ht="18.75" customHeight="1" x14ac:dyDescent="0.25">
      <c r="B15" s="168" t="s">
        <v>77</v>
      </c>
      <c r="C15" s="169"/>
      <c r="D15" s="170"/>
      <c r="J15"/>
      <c r="K15"/>
      <c r="L15"/>
      <c r="M15"/>
    </row>
    <row r="16" spans="2:13" ht="18.75" customHeight="1" x14ac:dyDescent="0.25">
      <c r="B16" s="171" t="s">
        <v>140</v>
      </c>
      <c r="C16" s="172" t="s">
        <v>141</v>
      </c>
      <c r="D16" s="28">
        <f>IFERROR(VLOOKUP(D$6,'Osnovni podatki'!$B$6:$I$41,7,FALSE),"")</f>
        <v>24.64</v>
      </c>
      <c r="J16"/>
      <c r="K16"/>
      <c r="L16"/>
      <c r="M16"/>
    </row>
    <row r="17" spans="2:13" ht="18.75" customHeight="1" x14ac:dyDescent="0.25">
      <c r="B17" s="171" t="s">
        <v>77</v>
      </c>
      <c r="C17" s="172" t="s">
        <v>28</v>
      </c>
      <c r="D17" s="78"/>
      <c r="G17" s="173"/>
      <c r="J17"/>
      <c r="K17"/>
      <c r="L17"/>
      <c r="M17"/>
    </row>
    <row r="18" spans="2:13" ht="18.75" customHeight="1" x14ac:dyDescent="0.25">
      <c r="B18" s="171" t="s">
        <v>79</v>
      </c>
      <c r="C18" s="172" t="s">
        <v>28</v>
      </c>
      <c r="D18" s="79">
        <f>D16*358</f>
        <v>8821.1200000000008</v>
      </c>
      <c r="J18"/>
      <c r="K18"/>
      <c r="L18"/>
      <c r="M18"/>
    </row>
    <row r="19" spans="2:13" ht="18.75" customHeight="1" x14ac:dyDescent="0.25">
      <c r="B19" s="174" t="s">
        <v>147</v>
      </c>
      <c r="C19" s="175" t="s">
        <v>146</v>
      </c>
      <c r="D19" s="91"/>
      <c r="J19"/>
      <c r="K19"/>
      <c r="L19"/>
      <c r="M19"/>
    </row>
    <row r="20" spans="2:13" ht="18.75" customHeight="1" x14ac:dyDescent="0.25">
      <c r="B20" s="174" t="s">
        <v>200</v>
      </c>
      <c r="C20" s="175" t="s">
        <v>28</v>
      </c>
      <c r="D20" s="176">
        <f>D17-D18-D21</f>
        <v>-8821.1200000000008</v>
      </c>
      <c r="J20"/>
      <c r="K20"/>
      <c r="L20"/>
      <c r="M20"/>
    </row>
    <row r="21" spans="2:13" ht="18.75" customHeight="1" thickBot="1" x14ac:dyDescent="0.3">
      <c r="B21" s="174" t="s">
        <v>202</v>
      </c>
      <c r="C21" s="175" t="s">
        <v>28</v>
      </c>
      <c r="D21" s="165">
        <f>D17*D19</f>
        <v>0</v>
      </c>
      <c r="J21"/>
      <c r="K21"/>
      <c r="L21"/>
      <c r="M21"/>
    </row>
    <row r="22" spans="2:13" ht="18.75" customHeight="1" x14ac:dyDescent="0.25">
      <c r="B22" s="177" t="s">
        <v>66</v>
      </c>
      <c r="C22" s="178"/>
      <c r="D22" s="179"/>
      <c r="J22"/>
      <c r="K22"/>
      <c r="L22"/>
      <c r="M22"/>
    </row>
    <row r="23" spans="2:13" ht="18.75" customHeight="1" x14ac:dyDescent="0.25">
      <c r="B23" s="180" t="s">
        <v>67</v>
      </c>
      <c r="C23" s="181" t="s">
        <v>60</v>
      </c>
      <c r="D23" s="85"/>
      <c r="J23"/>
      <c r="K23"/>
      <c r="L23"/>
      <c r="M23"/>
    </row>
    <row r="24" spans="2:13" ht="18.75" customHeight="1" x14ac:dyDescent="0.25">
      <c r="B24" s="182" t="s">
        <v>137</v>
      </c>
      <c r="C24" s="183" t="s">
        <v>60</v>
      </c>
      <c r="D24" s="80"/>
      <c r="J24"/>
      <c r="K24"/>
      <c r="L24"/>
      <c r="M24"/>
    </row>
    <row r="25" spans="2:13" ht="18.75" customHeight="1" x14ac:dyDescent="0.25">
      <c r="B25" s="182" t="s">
        <v>138</v>
      </c>
      <c r="C25" s="183" t="s">
        <v>60</v>
      </c>
      <c r="D25" s="80"/>
      <c r="J25"/>
      <c r="K25"/>
      <c r="L25"/>
      <c r="M25"/>
    </row>
    <row r="26" spans="2:13" ht="18.75" customHeight="1" thickBot="1" x14ac:dyDescent="0.3">
      <c r="B26" s="184" t="s">
        <v>198</v>
      </c>
      <c r="C26" s="185" t="s">
        <v>60</v>
      </c>
      <c r="D26" s="186">
        <f>D10-D24</f>
        <v>24.8</v>
      </c>
      <c r="J26"/>
      <c r="K26"/>
      <c r="L26"/>
      <c r="M26"/>
    </row>
    <row r="27" spans="2:13" ht="18.75" customHeight="1" x14ac:dyDescent="0.25">
      <c r="B27" s="187" t="s">
        <v>29</v>
      </c>
      <c r="C27" s="188"/>
      <c r="D27" s="189"/>
      <c r="J27"/>
      <c r="K27"/>
      <c r="L27"/>
      <c r="M27"/>
    </row>
    <row r="28" spans="2:13" ht="18.75" customHeight="1" x14ac:dyDescent="0.25">
      <c r="B28" s="190" t="s">
        <v>216</v>
      </c>
      <c r="C28" s="191" t="s">
        <v>197</v>
      </c>
      <c r="D28" s="84"/>
      <c r="J28"/>
      <c r="K28"/>
      <c r="L28"/>
      <c r="M28"/>
    </row>
    <row r="29" spans="2:13" ht="18.75" customHeight="1" thickBot="1" x14ac:dyDescent="0.3">
      <c r="B29" s="192" t="s">
        <v>76</v>
      </c>
      <c r="C29" s="193" t="s">
        <v>61</v>
      </c>
      <c r="D29" s="194">
        <f>D16*D28</f>
        <v>0</v>
      </c>
      <c r="J29"/>
      <c r="K29"/>
      <c r="L29"/>
      <c r="M29"/>
    </row>
    <row r="30" spans="2:13" ht="18.75" customHeight="1" x14ac:dyDescent="0.25">
      <c r="B30" s="195" t="s">
        <v>199</v>
      </c>
      <c r="C30" s="196"/>
      <c r="D30" s="197"/>
      <c r="J30"/>
      <c r="K30"/>
      <c r="L30"/>
      <c r="M30"/>
    </row>
    <row r="31" spans="2:13" ht="18.75" customHeight="1" thickBot="1" x14ac:dyDescent="0.3">
      <c r="B31" s="198" t="s">
        <v>143</v>
      </c>
      <c r="C31" s="199" t="s">
        <v>27</v>
      </c>
      <c r="D31" s="83"/>
      <c r="J31"/>
      <c r="K31"/>
      <c r="L31"/>
      <c r="M31"/>
    </row>
    <row r="32" spans="2:13" ht="18.75" customHeight="1" x14ac:dyDescent="0.2">
      <c r="B32" s="200" t="s">
        <v>203</v>
      </c>
      <c r="C32" s="201"/>
      <c r="D32" s="202"/>
    </row>
    <row r="33" spans="2:6" ht="18.75" customHeight="1" x14ac:dyDescent="0.2">
      <c r="B33" s="203" t="s">
        <v>30</v>
      </c>
      <c r="C33" s="204" t="s">
        <v>61</v>
      </c>
      <c r="D33" s="165">
        <f>D13</f>
        <v>0</v>
      </c>
      <c r="E33" s="154"/>
    </row>
    <row r="34" spans="2:6" ht="18.75" customHeight="1" thickBot="1" x14ac:dyDescent="0.25">
      <c r="B34" s="205" t="s">
        <v>144</v>
      </c>
      <c r="C34" s="206" t="s">
        <v>61</v>
      </c>
      <c r="D34" s="194">
        <f>D10*D31</f>
        <v>0</v>
      </c>
    </row>
    <row r="35" spans="2:6" ht="18.75" customHeight="1" x14ac:dyDescent="0.2">
      <c r="B35" s="207" t="s">
        <v>204</v>
      </c>
      <c r="C35" s="208"/>
      <c r="D35" s="209"/>
    </row>
    <row r="36" spans="2:6" ht="18.75" customHeight="1" x14ac:dyDescent="0.2">
      <c r="B36" s="210" t="s">
        <v>205</v>
      </c>
      <c r="C36" s="211" t="s">
        <v>60</v>
      </c>
      <c r="D36" s="165">
        <f>D23*D11</f>
        <v>0</v>
      </c>
    </row>
    <row r="37" spans="2:6" ht="18.75" customHeight="1" x14ac:dyDescent="0.2">
      <c r="B37" s="210" t="s">
        <v>206</v>
      </c>
      <c r="C37" s="211" t="s">
        <v>146</v>
      </c>
      <c r="D37" s="212" t="e">
        <f>D24/D23</f>
        <v>#DIV/0!</v>
      </c>
    </row>
    <row r="38" spans="2:6" ht="18.75" customHeight="1" x14ac:dyDescent="0.2">
      <c r="B38" s="210" t="s">
        <v>70</v>
      </c>
      <c r="C38" s="211" t="s">
        <v>27</v>
      </c>
      <c r="D38" s="165">
        <f>D31</f>
        <v>0</v>
      </c>
    </row>
    <row r="39" spans="2:6" ht="18.75" customHeight="1" x14ac:dyDescent="0.2">
      <c r="B39" s="210" t="s">
        <v>207</v>
      </c>
      <c r="C39" s="211" t="s">
        <v>208</v>
      </c>
      <c r="D39" s="213">
        <f>J60</f>
        <v>10</v>
      </c>
    </row>
    <row r="40" spans="2:6" ht="18.75" customHeight="1" thickBot="1" x14ac:dyDescent="0.25">
      <c r="B40" s="214" t="s">
        <v>210</v>
      </c>
      <c r="C40" s="215" t="s">
        <v>28</v>
      </c>
      <c r="D40" s="194">
        <f>D20</f>
        <v>-8821.1200000000008</v>
      </c>
      <c r="F40" s="154"/>
    </row>
    <row r="41" spans="2:6" ht="14.1" customHeight="1" x14ac:dyDescent="0.2">
      <c r="F41" s="154"/>
    </row>
    <row r="42" spans="2:6" ht="14.1" customHeight="1" x14ac:dyDescent="0.2">
      <c r="B42" s="216"/>
      <c r="F42" s="154"/>
    </row>
    <row r="43" spans="2:6" ht="14.1" customHeight="1" x14ac:dyDescent="0.2">
      <c r="B43" s="216" t="s">
        <v>209</v>
      </c>
    </row>
    <row r="44" spans="2:6" ht="14.1" customHeight="1" x14ac:dyDescent="0.2">
      <c r="B44" s="27" t="s">
        <v>211</v>
      </c>
    </row>
    <row r="45" spans="2:6" ht="14.1" customHeight="1" x14ac:dyDescent="0.2">
      <c r="B45" s="27" t="s">
        <v>212</v>
      </c>
    </row>
    <row r="46" spans="2:6" ht="14.1" customHeight="1" x14ac:dyDescent="0.2">
      <c r="B46" s="27" t="s">
        <v>213</v>
      </c>
    </row>
    <row r="47" spans="2:6" ht="14.1" customHeight="1" x14ac:dyDescent="0.2">
      <c r="B47" s="27" t="s">
        <v>214</v>
      </c>
    </row>
    <row r="48" spans="2:6" ht="14.1" customHeight="1" x14ac:dyDescent="0.2"/>
    <row r="49" spans="1:25" ht="14.1" customHeight="1" x14ac:dyDescent="0.2"/>
    <row r="50" spans="1:25" ht="14.1" customHeight="1" x14ac:dyDescent="0.2"/>
    <row r="51" spans="1:25" ht="14.1" customHeight="1" x14ac:dyDescent="0.2">
      <c r="N51" s="10"/>
      <c r="O51" s="10"/>
      <c r="P51" s="10"/>
    </row>
    <row r="52" spans="1:25" ht="14.1" customHeight="1" x14ac:dyDescent="0.2">
      <c r="N52" s="10"/>
      <c r="O52" s="10"/>
      <c r="P52" s="10"/>
    </row>
    <row r="53" spans="1:25" ht="17.100000000000001" customHeight="1" thickBot="1" x14ac:dyDescent="0.25">
      <c r="B53" s="55"/>
      <c r="N53" s="10"/>
      <c r="O53" s="10"/>
      <c r="P53" s="10"/>
    </row>
    <row r="54" spans="1:25" ht="17.100000000000001" customHeight="1" x14ac:dyDescent="0.2">
      <c r="B54" s="217" t="s">
        <v>43</v>
      </c>
      <c r="C54" s="218"/>
      <c r="D54" s="218"/>
      <c r="E54" s="219" t="s">
        <v>217</v>
      </c>
      <c r="F54" s="219" t="s">
        <v>201</v>
      </c>
      <c r="G54" s="220" t="s">
        <v>24</v>
      </c>
      <c r="N54" s="221"/>
      <c r="O54" s="221"/>
      <c r="P54" s="10"/>
      <c r="Y54" s="222"/>
    </row>
    <row r="55" spans="1:25" ht="17.100000000000001" customHeight="1" x14ac:dyDescent="0.25">
      <c r="A55"/>
      <c r="B55" s="223" t="s">
        <v>78</v>
      </c>
      <c r="C55" s="224"/>
      <c r="D55" s="225" t="s">
        <v>61</v>
      </c>
      <c r="E55" s="92">
        <f>D24*D12+D25*D14-D29</f>
        <v>0</v>
      </c>
      <c r="F55" s="92">
        <f>D33-D34</f>
        <v>0</v>
      </c>
      <c r="G55" s="56">
        <f>D31*D10-(D26*D12-D25*D14)-D16*D28</f>
        <v>0</v>
      </c>
      <c r="H55" s="154"/>
      <c r="N55" s="221"/>
      <c r="O55" s="221"/>
      <c r="P55" s="10"/>
      <c r="Y55" s="222"/>
    </row>
    <row r="56" spans="1:25" ht="14.1" customHeight="1" x14ac:dyDescent="0.25">
      <c r="A56"/>
      <c r="B56" s="226" t="s">
        <v>44</v>
      </c>
      <c r="C56" s="227"/>
      <c r="D56" s="225" t="s">
        <v>28</v>
      </c>
      <c r="E56" s="92">
        <f>D78</f>
        <v>0</v>
      </c>
      <c r="F56" s="92" t="e">
        <f>F55/E55*E56</f>
        <v>#DIV/0!</v>
      </c>
      <c r="G56" s="56" t="e">
        <f>G55/E55*E56</f>
        <v>#DIV/0!</v>
      </c>
      <c r="H56" s="154"/>
      <c r="N56" s="221"/>
      <c r="O56" s="221"/>
      <c r="P56" s="10"/>
      <c r="Y56" s="222"/>
    </row>
    <row r="57" spans="1:25" ht="17.100000000000001" customHeight="1" x14ac:dyDescent="0.25">
      <c r="A57"/>
      <c r="B57" s="226" t="s">
        <v>45</v>
      </c>
      <c r="C57" s="227"/>
      <c r="D57" s="225" t="s">
        <v>28</v>
      </c>
      <c r="E57" s="92">
        <f>M91</f>
        <v>0</v>
      </c>
      <c r="F57" s="92" t="e">
        <f>F55/E55*E57</f>
        <v>#DIV/0!</v>
      </c>
      <c r="G57" s="56" t="e">
        <f>G55/E55*E57</f>
        <v>#DIV/0!</v>
      </c>
      <c r="H57" s="154"/>
      <c r="N57" s="221"/>
      <c r="O57" s="221"/>
      <c r="P57" s="10"/>
      <c r="Y57" s="222"/>
    </row>
    <row r="58" spans="1:25" ht="17.100000000000001" customHeight="1" thickBot="1" x14ac:dyDescent="0.3">
      <c r="A58"/>
      <c r="B58" s="228" t="s">
        <v>80</v>
      </c>
      <c r="C58" s="229"/>
      <c r="D58" s="230" t="s">
        <v>28</v>
      </c>
      <c r="E58" s="93">
        <f>D17-D18</f>
        <v>-8821.1200000000008</v>
      </c>
      <c r="F58" s="93">
        <f>D20</f>
        <v>-8821.1200000000008</v>
      </c>
      <c r="G58" s="94">
        <f>D21</f>
        <v>0</v>
      </c>
      <c r="H58" s="154"/>
      <c r="N58" s="221"/>
      <c r="O58" s="221"/>
      <c r="P58" s="10"/>
      <c r="Y58" s="222"/>
    </row>
    <row r="59" spans="1:25" ht="30.75" thickBot="1" x14ac:dyDescent="0.3">
      <c r="A59"/>
      <c r="B59"/>
      <c r="C59"/>
      <c r="D59"/>
      <c r="E59"/>
      <c r="J59" s="231" t="s">
        <v>41</v>
      </c>
      <c r="K59" s="24" t="s">
        <v>42</v>
      </c>
      <c r="L59" s="25"/>
      <c r="M59" s="26"/>
      <c r="N59" s="221"/>
      <c r="O59" s="221"/>
      <c r="P59" s="10"/>
      <c r="Y59" s="222"/>
    </row>
    <row r="60" spans="1:25" ht="17.100000000000001" customHeight="1" thickBot="1" x14ac:dyDescent="0.3">
      <c r="A60"/>
      <c r="B60" s="55" t="s">
        <v>34</v>
      </c>
      <c r="E60"/>
      <c r="J60" s="54">
        <v>10</v>
      </c>
      <c r="K60" s="21" t="s">
        <v>36</v>
      </c>
      <c r="L60" s="22" t="s">
        <v>37</v>
      </c>
      <c r="M60" s="23" t="s">
        <v>38</v>
      </c>
      <c r="N60" s="10"/>
      <c r="O60" s="10"/>
      <c r="P60" s="10"/>
      <c r="Y60" s="216"/>
    </row>
    <row r="61" spans="1:25" ht="15.75" customHeight="1" x14ac:dyDescent="0.25">
      <c r="A61"/>
      <c r="B61" s="13" t="s">
        <v>35</v>
      </c>
      <c r="C61" s="14"/>
      <c r="D61" s="15"/>
      <c r="E61"/>
      <c r="K61" s="232">
        <f>IF($J$60&gt;0, 1, "")</f>
        <v>1</v>
      </c>
      <c r="L61" s="233">
        <f t="shared" ref="L61:L80" si="0">IF($J$60&gt;=K61,$E$55, "")</f>
        <v>0</v>
      </c>
      <c r="M61" s="57">
        <f t="shared" ref="M61:M84" si="1">IF($J$60&gt;=K61,L61/((1+$M$93)^K61), "0")</f>
        <v>0</v>
      </c>
      <c r="N61" s="10"/>
      <c r="O61" s="10"/>
      <c r="P61" s="10"/>
      <c r="Y61" s="216"/>
    </row>
    <row r="62" spans="1:25" ht="15.75" customHeight="1" x14ac:dyDescent="0.25">
      <c r="A62"/>
      <c r="B62" s="2" t="s">
        <v>36</v>
      </c>
      <c r="C62" s="3" t="s">
        <v>37</v>
      </c>
      <c r="D62" s="4" t="s">
        <v>38</v>
      </c>
      <c r="E62" s="162"/>
      <c r="F62" s="154"/>
      <c r="K62" s="234">
        <f>IF($J$60&gt;K61, 2, "")</f>
        <v>2</v>
      </c>
      <c r="L62" s="235">
        <f t="shared" si="0"/>
        <v>0</v>
      </c>
      <c r="M62" s="58">
        <f t="shared" si="1"/>
        <v>0</v>
      </c>
      <c r="N62" s="10"/>
      <c r="O62" s="10"/>
      <c r="P62" s="10"/>
      <c r="Y62" s="216"/>
    </row>
    <row r="63" spans="1:25" ht="15.75" customHeight="1" x14ac:dyDescent="0.25">
      <c r="A63"/>
      <c r="B63" s="31">
        <v>1</v>
      </c>
      <c r="C63" s="47">
        <f t="shared" ref="C63:C77" si="2">$E$55</f>
        <v>0</v>
      </c>
      <c r="D63" s="48">
        <f t="shared" ref="D63:D77" si="3">C63/((1+$D$80)^B63)</f>
        <v>0</v>
      </c>
      <c r="E63" s="162"/>
      <c r="F63" s="154"/>
      <c r="K63" s="234">
        <f>IF($J$60&gt;K62,3, "")</f>
        <v>3</v>
      </c>
      <c r="L63" s="235">
        <f t="shared" si="0"/>
        <v>0</v>
      </c>
      <c r="M63" s="58">
        <f t="shared" si="1"/>
        <v>0</v>
      </c>
      <c r="N63" s="236"/>
      <c r="O63" s="236"/>
      <c r="P63" s="10"/>
      <c r="Y63" s="237"/>
    </row>
    <row r="64" spans="1:25" ht="15.75" customHeight="1" x14ac:dyDescent="0.25">
      <c r="B64" s="31">
        <v>2</v>
      </c>
      <c r="C64" s="47">
        <f t="shared" si="2"/>
        <v>0</v>
      </c>
      <c r="D64" s="48">
        <f t="shared" si="3"/>
        <v>0</v>
      </c>
      <c r="E64" s="162"/>
      <c r="F64" s="154"/>
      <c r="K64" s="234">
        <f>IF($J$60&gt;K63, 4, "")</f>
        <v>4</v>
      </c>
      <c r="L64" s="235">
        <f t="shared" si="0"/>
        <v>0</v>
      </c>
      <c r="M64" s="58">
        <f t="shared" si="1"/>
        <v>0</v>
      </c>
      <c r="N64" s="10"/>
      <c r="O64" s="10"/>
      <c r="P64" s="10"/>
    </row>
    <row r="65" spans="2:19" ht="15.75" customHeight="1" x14ac:dyDescent="0.25">
      <c r="B65" s="31">
        <v>3</v>
      </c>
      <c r="C65" s="47">
        <f t="shared" si="2"/>
        <v>0</v>
      </c>
      <c r="D65" s="48">
        <f t="shared" si="3"/>
        <v>0</v>
      </c>
      <c r="E65" s="162"/>
      <c r="F65" s="154"/>
      <c r="K65" s="234">
        <f>IF($J$60&gt;K64, 5, "")</f>
        <v>5</v>
      </c>
      <c r="L65" s="235">
        <f t="shared" si="0"/>
        <v>0</v>
      </c>
      <c r="M65" s="58">
        <f t="shared" si="1"/>
        <v>0</v>
      </c>
      <c r="N65" s="351"/>
      <c r="O65" s="351"/>
      <c r="P65" s="351"/>
    </row>
    <row r="66" spans="2:19" ht="15.75" customHeight="1" x14ac:dyDescent="0.25">
      <c r="B66" s="31">
        <v>4</v>
      </c>
      <c r="C66" s="47">
        <f t="shared" si="2"/>
        <v>0</v>
      </c>
      <c r="D66" s="48">
        <f t="shared" si="3"/>
        <v>0</v>
      </c>
      <c r="E66" s="162"/>
      <c r="F66" s="154"/>
      <c r="G66" s="59"/>
      <c r="K66" s="234">
        <f>IF($J$60&gt;K65, 6, "")</f>
        <v>6</v>
      </c>
      <c r="L66" s="235">
        <f t="shared" si="0"/>
        <v>0</v>
      </c>
      <c r="M66" s="58">
        <f t="shared" si="1"/>
        <v>0</v>
      </c>
      <c r="N66" s="10"/>
      <c r="O66" s="10"/>
      <c r="P66" s="10"/>
    </row>
    <row r="67" spans="2:19" ht="15.75" customHeight="1" x14ac:dyDescent="0.25">
      <c r="B67" s="31">
        <v>5</v>
      </c>
      <c r="C67" s="47">
        <f t="shared" si="2"/>
        <v>0</v>
      </c>
      <c r="D67" s="48">
        <f t="shared" si="3"/>
        <v>0</v>
      </c>
      <c r="E67" s="162"/>
      <c r="F67" s="154"/>
      <c r="I67" s="10"/>
      <c r="K67" s="234">
        <f>IF($J$60&gt;K66, 7, "")</f>
        <v>7</v>
      </c>
      <c r="L67" s="235">
        <f t="shared" si="0"/>
        <v>0</v>
      </c>
      <c r="M67" s="58">
        <f t="shared" si="1"/>
        <v>0</v>
      </c>
      <c r="N67" s="10"/>
      <c r="O67" s="10"/>
      <c r="P67" s="10"/>
    </row>
    <row r="68" spans="2:19" ht="15.75" customHeight="1" x14ac:dyDescent="0.25">
      <c r="B68" s="31">
        <v>6</v>
      </c>
      <c r="C68" s="47">
        <f t="shared" si="2"/>
        <v>0</v>
      </c>
      <c r="D68" s="48">
        <f t="shared" si="3"/>
        <v>0</v>
      </c>
      <c r="E68" s="162"/>
      <c r="F68" s="154"/>
      <c r="I68" s="10"/>
      <c r="K68" s="234">
        <f>IF($J$60&gt;K67, 8, "")</f>
        <v>8</v>
      </c>
      <c r="L68" s="235">
        <f t="shared" si="0"/>
        <v>0</v>
      </c>
      <c r="M68" s="58">
        <f t="shared" si="1"/>
        <v>0</v>
      </c>
      <c r="N68" s="10"/>
      <c r="O68" s="10"/>
      <c r="P68" s="10"/>
      <c r="Q68" s="10"/>
      <c r="R68" s="10"/>
      <c r="S68" s="10"/>
    </row>
    <row r="69" spans="2:19" ht="15.75" customHeight="1" x14ac:dyDescent="0.25">
      <c r="B69" s="31">
        <v>7</v>
      </c>
      <c r="C69" s="47">
        <f t="shared" si="2"/>
        <v>0</v>
      </c>
      <c r="D69" s="48">
        <f t="shared" si="3"/>
        <v>0</v>
      </c>
      <c r="E69" s="162"/>
      <c r="F69" s="154"/>
      <c r="K69" s="234">
        <f>IF($J$60&gt;K68, 9, "")</f>
        <v>9</v>
      </c>
      <c r="L69" s="235">
        <f t="shared" si="0"/>
        <v>0</v>
      </c>
      <c r="M69" s="58">
        <f t="shared" si="1"/>
        <v>0</v>
      </c>
      <c r="N69" s="10"/>
      <c r="O69" s="10"/>
      <c r="P69" s="10"/>
      <c r="Q69" s="10"/>
      <c r="R69" s="10"/>
      <c r="S69" s="10"/>
    </row>
    <row r="70" spans="2:19" ht="15.75" customHeight="1" x14ac:dyDescent="0.25">
      <c r="B70" s="31">
        <v>8</v>
      </c>
      <c r="C70" s="47">
        <f t="shared" si="2"/>
        <v>0</v>
      </c>
      <c r="D70" s="48">
        <f t="shared" si="3"/>
        <v>0</v>
      </c>
      <c r="E70" s="162"/>
      <c r="F70" s="154"/>
      <c r="K70" s="234">
        <f>IF($J$60&gt;K69, 10, "")</f>
        <v>10</v>
      </c>
      <c r="L70" s="235">
        <f t="shared" si="0"/>
        <v>0</v>
      </c>
      <c r="M70" s="58">
        <f t="shared" si="1"/>
        <v>0</v>
      </c>
      <c r="N70" s="10"/>
      <c r="O70" s="10"/>
      <c r="P70" s="10"/>
    </row>
    <row r="71" spans="2:19" ht="15.75" customHeight="1" x14ac:dyDescent="0.25">
      <c r="B71" s="31">
        <v>9</v>
      </c>
      <c r="C71" s="47">
        <f t="shared" si="2"/>
        <v>0</v>
      </c>
      <c r="D71" s="48">
        <f t="shared" si="3"/>
        <v>0</v>
      </c>
      <c r="E71" s="162"/>
      <c r="F71" s="154"/>
      <c r="K71" s="234" t="str">
        <f>IF($J$60&gt;K70, 11, "")</f>
        <v/>
      </c>
      <c r="L71" s="235" t="str">
        <f t="shared" si="0"/>
        <v/>
      </c>
      <c r="M71" s="58" t="str">
        <f t="shared" si="1"/>
        <v>0</v>
      </c>
      <c r="N71" s="10"/>
      <c r="O71" s="10"/>
      <c r="P71" s="10"/>
    </row>
    <row r="72" spans="2:19" ht="15.75" customHeight="1" x14ac:dyDescent="0.25">
      <c r="B72" s="31">
        <v>10</v>
      </c>
      <c r="C72" s="47">
        <f t="shared" si="2"/>
        <v>0</v>
      </c>
      <c r="D72" s="48">
        <f t="shared" si="3"/>
        <v>0</v>
      </c>
      <c r="E72" s="162"/>
      <c r="F72" s="154"/>
      <c r="K72" s="234" t="str">
        <f>IF($J$60&gt;K71, 12, "")</f>
        <v/>
      </c>
      <c r="L72" s="235" t="str">
        <f t="shared" si="0"/>
        <v/>
      </c>
      <c r="M72" s="58" t="str">
        <f t="shared" si="1"/>
        <v>0</v>
      </c>
      <c r="N72" s="10"/>
      <c r="O72" s="10"/>
      <c r="P72" s="10"/>
    </row>
    <row r="73" spans="2:19" ht="15.75" customHeight="1" x14ac:dyDescent="0.25">
      <c r="B73" s="31">
        <v>11</v>
      </c>
      <c r="C73" s="47">
        <f t="shared" si="2"/>
        <v>0</v>
      </c>
      <c r="D73" s="48">
        <f t="shared" si="3"/>
        <v>0</v>
      </c>
      <c r="E73" s="162"/>
      <c r="F73" s="154"/>
      <c r="K73" s="234" t="str">
        <f>IF($J$60&gt;K72, 13, "")</f>
        <v/>
      </c>
      <c r="L73" s="235" t="str">
        <f t="shared" si="0"/>
        <v/>
      </c>
      <c r="M73" s="58" t="str">
        <f t="shared" si="1"/>
        <v>0</v>
      </c>
      <c r="N73" s="10"/>
      <c r="O73" s="10"/>
      <c r="P73" s="10"/>
    </row>
    <row r="74" spans="2:19" ht="15.75" customHeight="1" x14ac:dyDescent="0.25">
      <c r="B74" s="31">
        <v>12</v>
      </c>
      <c r="C74" s="47">
        <f t="shared" si="2"/>
        <v>0</v>
      </c>
      <c r="D74" s="48">
        <f t="shared" si="3"/>
        <v>0</v>
      </c>
      <c r="E74" s="162"/>
      <c r="F74" s="154"/>
      <c r="K74" s="234" t="str">
        <f>IF($J$60&gt;K73, 14, "")</f>
        <v/>
      </c>
      <c r="L74" s="235" t="str">
        <f t="shared" si="0"/>
        <v/>
      </c>
      <c r="M74" s="58" t="str">
        <f t="shared" si="1"/>
        <v>0</v>
      </c>
      <c r="N74" s="10"/>
      <c r="O74" s="10"/>
      <c r="P74" s="10"/>
    </row>
    <row r="75" spans="2:19" ht="15.75" customHeight="1" x14ac:dyDescent="0.25">
      <c r="B75" s="31">
        <v>13</v>
      </c>
      <c r="C75" s="47">
        <f t="shared" si="2"/>
        <v>0</v>
      </c>
      <c r="D75" s="48">
        <f t="shared" si="3"/>
        <v>0</v>
      </c>
      <c r="E75" s="162"/>
      <c r="F75" s="154"/>
      <c r="K75" s="234" t="str">
        <f>IF($J$60&gt;K74, 15, "")</f>
        <v/>
      </c>
      <c r="L75" s="235" t="str">
        <f t="shared" si="0"/>
        <v/>
      </c>
      <c r="M75" s="58" t="str">
        <f t="shared" si="1"/>
        <v>0</v>
      </c>
      <c r="N75" s="10"/>
      <c r="O75" s="10"/>
      <c r="P75" s="10"/>
    </row>
    <row r="76" spans="2:19" ht="15.75" customHeight="1" x14ac:dyDescent="0.25">
      <c r="B76" s="31">
        <v>14</v>
      </c>
      <c r="C76" s="47">
        <f t="shared" si="2"/>
        <v>0</v>
      </c>
      <c r="D76" s="48">
        <f t="shared" si="3"/>
        <v>0</v>
      </c>
      <c r="E76" s="162"/>
      <c r="F76" s="154"/>
      <c r="G76"/>
      <c r="K76" s="234" t="str">
        <f>IF($J$60&gt;K75, 16, "")</f>
        <v/>
      </c>
      <c r="L76" s="235" t="str">
        <f t="shared" si="0"/>
        <v/>
      </c>
      <c r="M76" s="58" t="str">
        <f t="shared" si="1"/>
        <v>0</v>
      </c>
      <c r="N76" s="10"/>
      <c r="O76" s="10"/>
      <c r="P76" s="10"/>
    </row>
    <row r="77" spans="2:19" ht="15.75" customHeight="1" x14ac:dyDescent="0.25">
      <c r="B77" s="31">
        <v>15</v>
      </c>
      <c r="C77" s="47">
        <f t="shared" si="2"/>
        <v>0</v>
      </c>
      <c r="D77" s="48">
        <f t="shared" si="3"/>
        <v>0</v>
      </c>
      <c r="E77" s="162"/>
      <c r="F77" s="154"/>
      <c r="G77"/>
      <c r="K77" s="234" t="str">
        <f>IF($J$60&gt;K76, 17, "")</f>
        <v/>
      </c>
      <c r="L77" s="235" t="str">
        <f t="shared" si="0"/>
        <v/>
      </c>
      <c r="M77" s="58" t="str">
        <f t="shared" si="1"/>
        <v>0</v>
      </c>
      <c r="N77" s="10"/>
      <c r="O77" s="10"/>
      <c r="P77" s="10"/>
    </row>
    <row r="78" spans="2:19" ht="15.75" customHeight="1" thickBot="1" x14ac:dyDescent="0.3">
      <c r="B78" s="12" t="s">
        <v>39</v>
      </c>
      <c r="C78" s="51">
        <f>SUM(C63:C77)</f>
        <v>0</v>
      </c>
      <c r="D78" s="52">
        <f>SUM(D63:D77)</f>
        <v>0</v>
      </c>
      <c r="E78" s="162"/>
      <c r="F78" s="238"/>
      <c r="G78" s="238"/>
      <c r="K78" s="234" t="str">
        <f>IF($J$60&gt;K77, 18, "")</f>
        <v/>
      </c>
      <c r="L78" s="235" t="str">
        <f t="shared" si="0"/>
        <v/>
      </c>
      <c r="M78" s="58" t="str">
        <f t="shared" si="1"/>
        <v>0</v>
      </c>
      <c r="N78" s="10"/>
      <c r="O78" s="10"/>
      <c r="P78" s="10"/>
    </row>
    <row r="79" spans="2:19" ht="15.75" customHeight="1" x14ac:dyDescent="0.25">
      <c r="B79" s="239"/>
      <c r="C79" s="240"/>
      <c r="D79" s="241"/>
      <c r="E79"/>
      <c r="F79"/>
      <c r="G79"/>
      <c r="K79" s="234" t="str">
        <f>IF($J$60&gt;K78, 19, "")</f>
        <v/>
      </c>
      <c r="L79" s="235" t="str">
        <f t="shared" si="0"/>
        <v/>
      </c>
      <c r="M79" s="58" t="str">
        <f t="shared" si="1"/>
        <v>0</v>
      </c>
      <c r="N79" s="10"/>
      <c r="O79" s="10"/>
      <c r="P79" s="10"/>
    </row>
    <row r="80" spans="2:19" ht="15.75" customHeight="1" thickBot="1" x14ac:dyDescent="0.3">
      <c r="B80" s="242" t="s">
        <v>40</v>
      </c>
      <c r="C80" s="243"/>
      <c r="D80" s="60">
        <v>0.04</v>
      </c>
      <c r="E80"/>
      <c r="F80" s="244"/>
      <c r="G80" s="238"/>
      <c r="K80" s="234" t="str">
        <f>IF($J$60&gt;K79, 20, "")</f>
        <v/>
      </c>
      <c r="L80" s="235" t="str">
        <f t="shared" si="0"/>
        <v/>
      </c>
      <c r="M80" s="58" t="str">
        <f t="shared" si="1"/>
        <v>0</v>
      </c>
      <c r="N80" s="10"/>
      <c r="O80" s="10"/>
      <c r="P80" s="10"/>
      <c r="Q80" s="10"/>
      <c r="R80" s="10"/>
      <c r="S80" s="10"/>
    </row>
    <row r="81" spans="1:19" ht="15.75" customHeight="1" x14ac:dyDescent="0.25">
      <c r="B81"/>
      <c r="C81"/>
      <c r="D81"/>
      <c r="E81"/>
      <c r="F81"/>
      <c r="G81"/>
      <c r="K81" s="234" t="str">
        <f>IF($J$60&gt;K80, 21, "")</f>
        <v/>
      </c>
      <c r="L81" s="235" t="str">
        <f t="shared" ref="L81:L90" si="4">IF($J$60&gt;=K81,$E$55, "")</f>
        <v/>
      </c>
      <c r="M81" s="58" t="str">
        <f t="shared" si="1"/>
        <v>0</v>
      </c>
      <c r="N81" s="10"/>
      <c r="O81" s="10"/>
      <c r="P81" s="10"/>
      <c r="Q81" s="10"/>
      <c r="R81" s="10"/>
      <c r="S81" s="10"/>
    </row>
    <row r="82" spans="1:19" ht="15.75" customHeight="1" x14ac:dyDescent="0.25">
      <c r="B82"/>
      <c r="C82"/>
      <c r="D82"/>
      <c r="E82"/>
      <c r="F82"/>
      <c r="G82"/>
      <c r="K82" s="234" t="str">
        <f>IF($J$60&gt;K81, 22, "")</f>
        <v/>
      </c>
      <c r="L82" s="235" t="str">
        <f t="shared" si="4"/>
        <v/>
      </c>
      <c r="M82" s="58" t="str">
        <f t="shared" si="1"/>
        <v>0</v>
      </c>
      <c r="N82" s="10"/>
      <c r="O82" s="10"/>
      <c r="P82" s="10"/>
    </row>
    <row r="83" spans="1:19" ht="15.75" customHeight="1" x14ac:dyDescent="0.25">
      <c r="B83"/>
      <c r="C83"/>
      <c r="D83"/>
      <c r="E83"/>
      <c r="F83"/>
      <c r="G83"/>
      <c r="K83" s="234" t="str">
        <f>IF($J$60&gt;K82, 23, "")</f>
        <v/>
      </c>
      <c r="L83" s="235" t="str">
        <f t="shared" si="4"/>
        <v/>
      </c>
      <c r="M83" s="58" t="str">
        <f t="shared" si="1"/>
        <v>0</v>
      </c>
      <c r="N83" s="351"/>
      <c r="O83" s="351"/>
      <c r="P83" s="10"/>
    </row>
    <row r="84" spans="1:19" ht="15.75" customHeight="1" x14ac:dyDescent="0.25">
      <c r="B84"/>
      <c r="C84"/>
      <c r="D84"/>
      <c r="E84"/>
      <c r="F84"/>
      <c r="G84"/>
      <c r="K84" s="234" t="str">
        <f>IF($J$60&gt;K83, 24, "")</f>
        <v/>
      </c>
      <c r="L84" s="235" t="str">
        <f t="shared" si="4"/>
        <v/>
      </c>
      <c r="M84" s="58" t="str">
        <f t="shared" si="1"/>
        <v>0</v>
      </c>
      <c r="N84" s="351"/>
      <c r="O84" s="351"/>
      <c r="P84" s="351"/>
    </row>
    <row r="85" spans="1:19" ht="15.75" customHeight="1" x14ac:dyDescent="0.25">
      <c r="B85"/>
      <c r="C85"/>
      <c r="D85"/>
      <c r="E85"/>
      <c r="F85"/>
      <c r="G85"/>
      <c r="K85" s="234" t="str">
        <f>IF($J$60&gt;K84, 25, "")</f>
        <v/>
      </c>
      <c r="L85" s="235" t="str">
        <f t="shared" si="4"/>
        <v/>
      </c>
      <c r="M85" s="58" t="str">
        <f t="shared" ref="M85:M88" si="5">IF($J$60&gt;=K85,L85/((1+$M$93)^K85), "0")</f>
        <v>0</v>
      </c>
      <c r="N85" s="10"/>
      <c r="O85" s="10"/>
      <c r="P85" s="10"/>
    </row>
    <row r="86" spans="1:19" ht="15.75" customHeight="1" x14ac:dyDescent="0.25">
      <c r="B86"/>
      <c r="C86"/>
      <c r="D86"/>
      <c r="E86"/>
      <c r="F86"/>
      <c r="G86"/>
      <c r="K86" s="234" t="str">
        <f>IF($J$60&gt;K85, 26, "")</f>
        <v/>
      </c>
      <c r="L86" s="235" t="str">
        <f>IF($J$60&gt;=K86,$E$55, "")</f>
        <v/>
      </c>
      <c r="M86" s="58" t="str">
        <f t="shared" si="5"/>
        <v>0</v>
      </c>
      <c r="N86" s="10"/>
      <c r="O86" s="10"/>
      <c r="P86" s="10"/>
    </row>
    <row r="87" spans="1:19" ht="15.75" customHeight="1" x14ac:dyDescent="0.25">
      <c r="A87"/>
      <c r="B87"/>
      <c r="C87"/>
      <c r="D87"/>
      <c r="E87"/>
      <c r="F87"/>
      <c r="G87"/>
      <c r="K87" s="234" t="str">
        <f>IF($J$60&gt;K86, 27, "")</f>
        <v/>
      </c>
      <c r="L87" s="235" t="str">
        <f t="shared" si="4"/>
        <v/>
      </c>
      <c r="M87" s="58" t="str">
        <f t="shared" si="5"/>
        <v>0</v>
      </c>
    </row>
    <row r="88" spans="1:19" ht="15.75" customHeight="1" x14ac:dyDescent="0.25">
      <c r="A88"/>
      <c r="B88"/>
      <c r="C88"/>
      <c r="D88"/>
      <c r="E88"/>
      <c r="F88"/>
      <c r="K88" s="234" t="str">
        <f>IF($J$60&gt;K87, 28, "")</f>
        <v/>
      </c>
      <c r="L88" s="235" t="str">
        <f t="shared" si="4"/>
        <v/>
      </c>
      <c r="M88" s="58" t="str">
        <f t="shared" si="5"/>
        <v>0</v>
      </c>
    </row>
    <row r="89" spans="1:19" ht="15.75" customHeight="1" x14ac:dyDescent="0.25">
      <c r="A89"/>
      <c r="B89"/>
      <c r="C89"/>
      <c r="D89"/>
      <c r="E89"/>
      <c r="F89"/>
      <c r="K89" s="234" t="str">
        <f>IF($J$60&gt;K88, 29, "")</f>
        <v/>
      </c>
      <c r="L89" s="235" t="str">
        <f t="shared" si="4"/>
        <v/>
      </c>
      <c r="M89" s="58" t="str">
        <f t="shared" ref="M89:M90" si="6">IF($J$60&gt;=K89,L89/((1+$M$93)^K89), "0")</f>
        <v>0</v>
      </c>
    </row>
    <row r="90" spans="1:19" ht="15.75" customHeight="1" x14ac:dyDescent="0.25">
      <c r="A90"/>
      <c r="B90"/>
      <c r="C90"/>
      <c r="D90"/>
      <c r="E90"/>
      <c r="F90"/>
      <c r="K90" s="234" t="str">
        <f>IF($J$60&gt;K89, 30, "")</f>
        <v/>
      </c>
      <c r="L90" s="235" t="str">
        <f t="shared" si="4"/>
        <v/>
      </c>
      <c r="M90" s="58" t="str">
        <f t="shared" si="6"/>
        <v>0</v>
      </c>
    </row>
    <row r="91" spans="1:19" ht="15.75" customHeight="1" x14ac:dyDescent="0.25">
      <c r="A91"/>
      <c r="B91"/>
      <c r="C91"/>
      <c r="D91"/>
      <c r="E91"/>
      <c r="F91"/>
      <c r="K91" s="2" t="s">
        <v>39</v>
      </c>
      <c r="L91" s="49">
        <f>SUM(L61:L90)</f>
        <v>0</v>
      </c>
      <c r="M91" s="50">
        <f>SUM(M61:M80)</f>
        <v>0</v>
      </c>
    </row>
    <row r="92" spans="1:19" ht="15.75" customHeight="1" x14ac:dyDescent="0.25">
      <c r="A92"/>
      <c r="B92"/>
      <c r="C92"/>
      <c r="D92"/>
      <c r="E92"/>
      <c r="F92"/>
      <c r="K92" s="245"/>
      <c r="L92" s="246"/>
      <c r="M92" s="28"/>
    </row>
    <row r="93" spans="1:19" ht="15.75" customHeight="1" thickBot="1" x14ac:dyDescent="0.3">
      <c r="A93"/>
      <c r="B93"/>
      <c r="C93"/>
      <c r="D93"/>
      <c r="E93"/>
      <c r="F93"/>
      <c r="K93" s="242" t="s">
        <v>40</v>
      </c>
      <c r="L93" s="243"/>
      <c r="M93" s="60">
        <v>0.04</v>
      </c>
    </row>
    <row r="94" spans="1:19" ht="15" x14ac:dyDescent="0.25">
      <c r="A94"/>
      <c r="B94"/>
      <c r="C94"/>
      <c r="D94"/>
      <c r="E94"/>
      <c r="F94"/>
    </row>
    <row r="95" spans="1:19" ht="14.1" customHeight="1" x14ac:dyDescent="0.2"/>
    <row r="96" spans="1:19" ht="14.1" customHeight="1" x14ac:dyDescent="0.2"/>
    <row r="97" s="27" customFormat="1" ht="14.1" customHeight="1" x14ac:dyDescent="0.2"/>
    <row r="98" s="27" customFormat="1" ht="14.1" customHeight="1" x14ac:dyDescent="0.2"/>
    <row r="99" s="27" customFormat="1" ht="14.1" customHeight="1" x14ac:dyDescent="0.2"/>
    <row r="100" s="27" customFormat="1" ht="14.1" customHeight="1" x14ac:dyDescent="0.2"/>
    <row r="101" s="27" customFormat="1" ht="14.1" customHeight="1" x14ac:dyDescent="0.2"/>
    <row r="102" s="27" customFormat="1" ht="14.1" customHeight="1" x14ac:dyDescent="0.2"/>
    <row r="103" s="27" customFormat="1" ht="14.1" customHeight="1" x14ac:dyDescent="0.2"/>
    <row r="104" s="27" customFormat="1" ht="14.1" customHeight="1" x14ac:dyDescent="0.2"/>
    <row r="105" s="27" customFormat="1" ht="14.1" customHeight="1" x14ac:dyDescent="0.2"/>
    <row r="106" s="27" customFormat="1" ht="14.1" customHeight="1" x14ac:dyDescent="0.2"/>
    <row r="107" s="27" customFormat="1" ht="14.1" customHeight="1" x14ac:dyDescent="0.2"/>
    <row r="108" s="27" customFormat="1" ht="14.1" customHeight="1" x14ac:dyDescent="0.2"/>
    <row r="109" s="27" customFormat="1" ht="14.1" customHeight="1" x14ac:dyDescent="0.2"/>
    <row r="110" s="27" customFormat="1" ht="14.1" customHeight="1" x14ac:dyDescent="0.2"/>
    <row r="111" s="27" customFormat="1" ht="14.1" customHeight="1" x14ac:dyDescent="0.2"/>
    <row r="112" s="27" customFormat="1" ht="14.1" customHeight="1" x14ac:dyDescent="0.2"/>
    <row r="113" s="27" customFormat="1" ht="14.1" customHeight="1" x14ac:dyDescent="0.2"/>
    <row r="114" s="27" customFormat="1" ht="14.1" customHeight="1" x14ac:dyDescent="0.2"/>
    <row r="115" s="27" customFormat="1" ht="14.1" customHeight="1" x14ac:dyDescent="0.2"/>
    <row r="116" s="27" customFormat="1" ht="14.1" customHeight="1" x14ac:dyDescent="0.2"/>
    <row r="117" s="27" customFormat="1" ht="14.1" customHeight="1" x14ac:dyDescent="0.2"/>
    <row r="118" s="27" customFormat="1" ht="14.1" customHeight="1" x14ac:dyDescent="0.2"/>
    <row r="119" s="27" customFormat="1" ht="14.1" customHeight="1" x14ac:dyDescent="0.2"/>
    <row r="120" s="27" customFormat="1" ht="14.1" customHeight="1" x14ac:dyDescent="0.2"/>
    <row r="121" s="27" customFormat="1" ht="14.1" customHeight="1" x14ac:dyDescent="0.2"/>
    <row r="122" s="27" customFormat="1" ht="14.1" customHeight="1" x14ac:dyDescent="0.2"/>
    <row r="123" s="27" customFormat="1" ht="14.1" customHeight="1" x14ac:dyDescent="0.2"/>
    <row r="124" s="27" customFormat="1" ht="14.1" customHeight="1" x14ac:dyDescent="0.2"/>
    <row r="125" s="27" customFormat="1" ht="14.1" customHeight="1" x14ac:dyDescent="0.2"/>
    <row r="126" s="27" customFormat="1" ht="14.1" customHeight="1" x14ac:dyDescent="0.2"/>
    <row r="127" s="27" customFormat="1" ht="14.1" customHeight="1" x14ac:dyDescent="0.2"/>
    <row r="128" s="27" customFormat="1" ht="14.1" customHeight="1" x14ac:dyDescent="0.2"/>
    <row r="129" s="27" customFormat="1" ht="14.1" customHeight="1" x14ac:dyDescent="0.2"/>
    <row r="130" s="27" customFormat="1" ht="14.1" customHeight="1" x14ac:dyDescent="0.2"/>
    <row r="131" s="27" customFormat="1" ht="14.1" customHeight="1" x14ac:dyDescent="0.2"/>
    <row r="132" s="27" customFormat="1" ht="14.1" customHeight="1" x14ac:dyDescent="0.2"/>
    <row r="133" s="27" customFormat="1" ht="14.1" customHeight="1" x14ac:dyDescent="0.2"/>
    <row r="134" s="27" customFormat="1" ht="14.1" customHeight="1" x14ac:dyDescent="0.2"/>
    <row r="135" s="27" customFormat="1" ht="14.1" customHeight="1" x14ac:dyDescent="0.2"/>
    <row r="136" s="27" customFormat="1" ht="14.1" customHeight="1" x14ac:dyDescent="0.2"/>
    <row r="137" s="27" customFormat="1" ht="14.1" customHeight="1" x14ac:dyDescent="0.2"/>
    <row r="138" s="27" customFormat="1" ht="14.1" customHeight="1" x14ac:dyDescent="0.2"/>
    <row r="139" s="27" customFormat="1" ht="14.1" customHeight="1" x14ac:dyDescent="0.2"/>
    <row r="140" s="27" customFormat="1" ht="14.1" customHeight="1" x14ac:dyDescent="0.2"/>
    <row r="141" s="27" customFormat="1" ht="14.1" customHeight="1" x14ac:dyDescent="0.2"/>
    <row r="142" s="27" customFormat="1" ht="14.1" customHeight="1" x14ac:dyDescent="0.2"/>
    <row r="143" s="27" customFormat="1" ht="14.1" customHeight="1" x14ac:dyDescent="0.2"/>
    <row r="144" s="27" customFormat="1" ht="14.1" customHeight="1" x14ac:dyDescent="0.2"/>
    <row r="145" s="27" customFormat="1" ht="14.1" customHeight="1" x14ac:dyDescent="0.2"/>
    <row r="146" s="27" customFormat="1" ht="14.1" customHeight="1" x14ac:dyDescent="0.2"/>
    <row r="147" s="27" customFormat="1" ht="14.1" customHeight="1" x14ac:dyDescent="0.2"/>
    <row r="148" s="27" customFormat="1" ht="14.1" customHeight="1" x14ac:dyDescent="0.2"/>
    <row r="149" s="27" customFormat="1" ht="14.1" customHeight="1" x14ac:dyDescent="0.2"/>
    <row r="150" s="27" customFormat="1" ht="14.1" customHeight="1" x14ac:dyDescent="0.2"/>
    <row r="151" s="27" customFormat="1" ht="14.1" customHeight="1" x14ac:dyDescent="0.2"/>
    <row r="152" s="27" customFormat="1" ht="14.1" customHeight="1" x14ac:dyDescent="0.2"/>
    <row r="153" s="27" customFormat="1" ht="14.1" customHeight="1" x14ac:dyDescent="0.2"/>
    <row r="154" s="27" customFormat="1" ht="14.1" customHeight="1" x14ac:dyDescent="0.2"/>
    <row r="155" s="27" customFormat="1" ht="14.1" customHeight="1" x14ac:dyDescent="0.2"/>
    <row r="156" s="27" customFormat="1" ht="14.1" customHeight="1" x14ac:dyDescent="0.2"/>
    <row r="157" s="27" customFormat="1" ht="14.1" customHeight="1" x14ac:dyDescent="0.2"/>
    <row r="158" s="27" customFormat="1" ht="14.1" customHeight="1" x14ac:dyDescent="0.2"/>
    <row r="159" s="27" customFormat="1" ht="14.1" customHeight="1" x14ac:dyDescent="0.2"/>
    <row r="160" s="27" customFormat="1" ht="14.1" customHeight="1" x14ac:dyDescent="0.2"/>
    <row r="161" s="27" customFormat="1" ht="14.1" customHeight="1" x14ac:dyDescent="0.2"/>
    <row r="162" s="27" customFormat="1" ht="14.1" customHeight="1" x14ac:dyDescent="0.2"/>
    <row r="163" s="27" customFormat="1" ht="14.1" customHeight="1" x14ac:dyDescent="0.2"/>
    <row r="164" s="27" customFormat="1" ht="14.1" customHeight="1" x14ac:dyDescent="0.2"/>
    <row r="165" s="27" customFormat="1" ht="14.1" customHeight="1" x14ac:dyDescent="0.2"/>
    <row r="166" s="27" customFormat="1" ht="14.1" customHeight="1" x14ac:dyDescent="0.2"/>
    <row r="167" s="27" customFormat="1" ht="14.1" customHeight="1" x14ac:dyDescent="0.2"/>
    <row r="168" s="27" customFormat="1" ht="14.1" customHeight="1" x14ac:dyDescent="0.2"/>
    <row r="169" s="27" customFormat="1" ht="14.1" customHeight="1" x14ac:dyDescent="0.2"/>
    <row r="170" s="27" customFormat="1" ht="14.1" customHeight="1" x14ac:dyDescent="0.2"/>
    <row r="171" s="27" customFormat="1" ht="14.1" customHeight="1" x14ac:dyDescent="0.2"/>
    <row r="172" s="27" customFormat="1" ht="14.1" customHeight="1" x14ac:dyDescent="0.2"/>
    <row r="173" s="27" customFormat="1" ht="14.1" customHeight="1" x14ac:dyDescent="0.2"/>
    <row r="174" s="27" customFormat="1" ht="14.1" customHeight="1" x14ac:dyDescent="0.2"/>
    <row r="175" s="27" customFormat="1" ht="14.1" customHeight="1" x14ac:dyDescent="0.2"/>
    <row r="176" s="27" customFormat="1" ht="14.1" customHeight="1" x14ac:dyDescent="0.2"/>
    <row r="177" s="27" customFormat="1" ht="14.1" customHeight="1" x14ac:dyDescent="0.2"/>
    <row r="178" s="27" customFormat="1" ht="14.1" customHeight="1" x14ac:dyDescent="0.2"/>
    <row r="179" s="27" customFormat="1" ht="14.1" customHeight="1" x14ac:dyDescent="0.2"/>
    <row r="180" s="27" customFormat="1" ht="14.1" customHeight="1" x14ac:dyDescent="0.2"/>
    <row r="181" s="27" customFormat="1" ht="14.1" customHeight="1" x14ac:dyDescent="0.2"/>
    <row r="182" s="27" customFormat="1" ht="14.1" customHeight="1" x14ac:dyDescent="0.2"/>
    <row r="183" s="27" customFormat="1" ht="14.1" customHeight="1" x14ac:dyDescent="0.2"/>
    <row r="184" s="27" customFormat="1" ht="14.1" customHeight="1" x14ac:dyDescent="0.2"/>
    <row r="185" s="27" customFormat="1" ht="14.1" customHeight="1" x14ac:dyDescent="0.2"/>
    <row r="186" s="27" customFormat="1" ht="14.1" customHeight="1" x14ac:dyDescent="0.2"/>
    <row r="187" s="27" customFormat="1" ht="14.1" customHeight="1" x14ac:dyDescent="0.2"/>
    <row r="188" s="27" customFormat="1" ht="14.1" customHeight="1" x14ac:dyDescent="0.2"/>
    <row r="189" s="27" customFormat="1" ht="14.1" customHeight="1" x14ac:dyDescent="0.2"/>
    <row r="190" s="27" customFormat="1" ht="14.1" customHeight="1" x14ac:dyDescent="0.2"/>
    <row r="191" s="27" customFormat="1" ht="14.1" customHeight="1" x14ac:dyDescent="0.2"/>
  </sheetData>
  <sheetProtection sheet="1" selectLockedCells="1"/>
  <mergeCells count="5">
    <mergeCell ref="N84:P84"/>
    <mergeCell ref="B6:C6"/>
    <mergeCell ref="B8:C8"/>
    <mergeCell ref="N65:P65"/>
    <mergeCell ref="N83:O83"/>
  </mergeCells>
  <phoneticPr fontId="15" type="noConversion"/>
  <pageMargins left="0.25" right="0.25" top="0.75" bottom="0.75" header="0.3" footer="0.3"/>
  <pageSetup paperSize="9" scale="46" fitToHeight="0" orientation="portrait" r:id="rId1"/>
  <headerFooter>
    <oddFooter>&amp;L&amp;A&amp;R&amp;P/&amp;N</oddFooter>
  </headerFooter>
  <rowBreaks count="1" manualBreakCount="1">
    <brk id="52" max="12" man="1"/>
  </rowBreaks>
  <colBreaks count="1" manualBreakCount="1">
    <brk id="8" max="121" man="1"/>
  </colBreak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400-000000000000}">
          <x14:formula1>
            <xm:f>'Osnovni podatki'!$B$6:$B$40</xm:f>
          </x14:formula1>
          <xm:sqref>D6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DAD78-56EB-4D35-9D68-A0040818236C}">
  <sheetPr>
    <tabColor rgb="FFFFFF00"/>
    <pageSetUpPr fitToPage="1"/>
  </sheetPr>
  <dimension ref="A1:Y191"/>
  <sheetViews>
    <sheetView showGridLines="0" view="pageBreakPreview" zoomScale="85" zoomScaleNormal="100" zoomScaleSheetLayoutView="85" workbookViewId="0">
      <selection activeCell="D11" sqref="D11"/>
    </sheetView>
  </sheetViews>
  <sheetFormatPr defaultColWidth="9.140625" defaultRowHeight="12.75" x14ac:dyDescent="0.2"/>
  <cols>
    <col min="1" max="1" width="4.85546875" style="27" customWidth="1"/>
    <col min="2" max="2" width="43.5703125" style="27" customWidth="1"/>
    <col min="3" max="3" width="15" style="27" customWidth="1"/>
    <col min="4" max="4" width="18.85546875" style="27" customWidth="1"/>
    <col min="5" max="8" width="15" style="27" customWidth="1"/>
    <col min="9" max="9" width="8.28515625" style="27" customWidth="1"/>
    <col min="10" max="10" width="14.7109375" style="27" customWidth="1"/>
    <col min="11" max="11" width="13.85546875" style="27" customWidth="1"/>
    <col min="12" max="12" width="15.5703125" style="27" customWidth="1"/>
    <col min="13" max="13" width="16.140625" style="27" customWidth="1"/>
    <col min="14" max="14" width="18.42578125" style="27" customWidth="1"/>
    <col min="15" max="15" width="14.7109375" style="27" bestFit="1" customWidth="1"/>
    <col min="16" max="16" width="9.140625" style="27" customWidth="1"/>
    <col min="17" max="24" width="9.140625" style="27"/>
    <col min="25" max="25" width="14.5703125" style="27" bestFit="1" customWidth="1"/>
    <col min="26" max="16384" width="9.140625" style="27"/>
  </cols>
  <sheetData>
    <row r="1" spans="2:13" ht="14.1" customHeight="1" x14ac:dyDescent="0.2">
      <c r="B1" s="11"/>
      <c r="E1" s="11"/>
    </row>
    <row r="2" spans="2:13" ht="28.35" customHeight="1" x14ac:dyDescent="0.2">
      <c r="B2" s="53" t="s">
        <v>31</v>
      </c>
    </row>
    <row r="3" spans="2:13" ht="14.1" customHeight="1" x14ac:dyDescent="0.2"/>
    <row r="4" spans="2:13" ht="19.7" customHeight="1" thickBot="1" x14ac:dyDescent="0.25">
      <c r="B4" s="55" t="s">
        <v>2</v>
      </c>
    </row>
    <row r="5" spans="2:13" ht="18" customHeight="1" x14ac:dyDescent="0.2">
      <c r="B5" s="1" t="s">
        <v>32</v>
      </c>
      <c r="C5" s="29"/>
      <c r="D5" s="30"/>
    </row>
    <row r="6" spans="2:13" ht="18" customHeight="1" x14ac:dyDescent="0.2">
      <c r="B6" s="352" t="s">
        <v>6</v>
      </c>
      <c r="C6" s="353"/>
      <c r="D6" s="28">
        <v>2</v>
      </c>
      <c r="H6" s="154"/>
      <c r="J6" s="154"/>
      <c r="K6" s="154"/>
    </row>
    <row r="7" spans="2:13" ht="18" customHeight="1" x14ac:dyDescent="0.2">
      <c r="B7" s="155" t="s">
        <v>7</v>
      </c>
      <c r="C7" s="156"/>
      <c r="D7" s="157" t="str">
        <f ca="1">MID(CELL("filename", A1), FIND("]", CELL("filename", A1)) + 1, LEN(CELL("filename", A1)) - FIND("]", CELL("filename", A1)))</f>
        <v>IS02</v>
      </c>
      <c r="H7" s="154"/>
      <c r="J7" s="154"/>
      <c r="K7" s="154"/>
    </row>
    <row r="8" spans="2:13" ht="30" customHeight="1" thickBot="1" x14ac:dyDescent="0.25">
      <c r="B8" s="354" t="s">
        <v>58</v>
      </c>
      <c r="C8" s="355"/>
      <c r="D8" s="158" t="str">
        <f>INDEX('Referenčne količine'!$B$4:$M$12,MATCH($B8,('Referenčne količine'!$B$4:$B$12),0),MATCH($D$6,'Referenčne količine'!$B$5:$M$5,0))</f>
        <v>SE Kulturni dom Dobova 1</v>
      </c>
      <c r="H8" s="154"/>
      <c r="J8" s="154"/>
      <c r="K8" s="154"/>
    </row>
    <row r="9" spans="2:13" ht="18.75" customHeight="1" x14ac:dyDescent="0.25">
      <c r="B9" s="159" t="s">
        <v>215</v>
      </c>
      <c r="C9" s="160"/>
      <c r="D9" s="161"/>
      <c r="H9" s="154"/>
      <c r="J9"/>
      <c r="K9" s="162"/>
      <c r="L9"/>
      <c r="M9"/>
    </row>
    <row r="10" spans="2:13" ht="18.75" customHeight="1" x14ac:dyDescent="0.25">
      <c r="B10" s="163" t="s">
        <v>62</v>
      </c>
      <c r="C10" s="164" t="s">
        <v>60</v>
      </c>
      <c r="D10" s="165">
        <f>INDEX('Referenčne količine'!$B$9:$M$12,MATCH(B10,('Referenčne količine'!$B$9:$B$12),0),MATCH($D$6,'Referenčne količine'!$B$5:$M$5,0))</f>
        <v>13.7</v>
      </c>
      <c r="H10" s="154"/>
      <c r="J10"/>
      <c r="K10" s="162"/>
      <c r="L10"/>
      <c r="M10"/>
    </row>
    <row r="11" spans="2:13" ht="18.75" customHeight="1" x14ac:dyDescent="0.25">
      <c r="B11" s="163" t="s">
        <v>148</v>
      </c>
      <c r="C11" s="164" t="s">
        <v>46</v>
      </c>
      <c r="D11" s="80"/>
      <c r="H11" s="154"/>
      <c r="J11" s="162"/>
      <c r="K11" s="162"/>
      <c r="L11"/>
      <c r="M11"/>
    </row>
    <row r="12" spans="2:13" ht="18.75" customHeight="1" x14ac:dyDescent="0.25">
      <c r="B12" s="163" t="s">
        <v>64</v>
      </c>
      <c r="C12" s="164" t="s">
        <v>27</v>
      </c>
      <c r="D12" s="165">
        <f>INDEX('Referenčne količine'!$B$9:$M$12,MATCH(B12,('Referenčne količine'!$B$9:$B$12),0),MATCH($D$6,'Referenčne količine'!$B$5:$M$5,0))</f>
        <v>0</v>
      </c>
      <c r="J12"/>
      <c r="K12"/>
      <c r="L12"/>
      <c r="M12"/>
    </row>
    <row r="13" spans="2:13" ht="18.75" customHeight="1" x14ac:dyDescent="0.25">
      <c r="B13" s="163" t="s">
        <v>65</v>
      </c>
      <c r="C13" s="164" t="s">
        <v>61</v>
      </c>
      <c r="D13" s="165">
        <f>INDEX('Referenčne količine'!$B$9:$M$12,MATCH(B13,('Referenčne količine'!$B$9:$B$12),0),MATCH($D$6,'Referenčne količine'!$B$5:$M$5,0))</f>
        <v>0</v>
      </c>
      <c r="J13"/>
      <c r="K13"/>
      <c r="L13"/>
      <c r="M13"/>
    </row>
    <row r="14" spans="2:13" ht="18.75" customHeight="1" thickBot="1" x14ac:dyDescent="0.3">
      <c r="B14" s="166" t="s">
        <v>145</v>
      </c>
      <c r="C14" s="167" t="s">
        <v>27</v>
      </c>
      <c r="D14" s="153"/>
      <c r="J14"/>
      <c r="K14"/>
      <c r="L14"/>
      <c r="M14"/>
    </row>
    <row r="15" spans="2:13" ht="18.75" customHeight="1" x14ac:dyDescent="0.25">
      <c r="B15" s="168" t="s">
        <v>77</v>
      </c>
      <c r="C15" s="169"/>
      <c r="D15" s="170"/>
      <c r="J15"/>
      <c r="K15"/>
      <c r="L15"/>
      <c r="M15"/>
    </row>
    <row r="16" spans="2:13" ht="18.75" customHeight="1" x14ac:dyDescent="0.25">
      <c r="B16" s="171" t="s">
        <v>140</v>
      </c>
      <c r="C16" s="172" t="s">
        <v>141</v>
      </c>
      <c r="D16" s="28">
        <f>IFERROR(VLOOKUP(D$6,'Osnovni podatki'!$B$6:$I$41,7,FALSE),"")</f>
        <v>13.64</v>
      </c>
      <c r="J16"/>
      <c r="K16"/>
      <c r="L16"/>
      <c r="M16"/>
    </row>
    <row r="17" spans="2:13" ht="18.75" customHeight="1" x14ac:dyDescent="0.25">
      <c r="B17" s="171" t="s">
        <v>77</v>
      </c>
      <c r="C17" s="172" t="s">
        <v>28</v>
      </c>
      <c r="D17" s="78"/>
      <c r="G17" s="173"/>
      <c r="J17"/>
      <c r="K17"/>
      <c r="L17"/>
      <c r="M17"/>
    </row>
    <row r="18" spans="2:13" ht="18.75" customHeight="1" x14ac:dyDescent="0.25">
      <c r="B18" s="171" t="s">
        <v>79</v>
      </c>
      <c r="C18" s="172" t="s">
        <v>28</v>
      </c>
      <c r="D18" s="79">
        <f>D16*358</f>
        <v>4883.12</v>
      </c>
      <c r="J18"/>
      <c r="K18"/>
      <c r="L18"/>
      <c r="M18"/>
    </row>
    <row r="19" spans="2:13" ht="18.75" customHeight="1" x14ac:dyDescent="0.25">
      <c r="B19" s="174" t="s">
        <v>147</v>
      </c>
      <c r="C19" s="175" t="s">
        <v>146</v>
      </c>
      <c r="D19" s="91"/>
      <c r="J19"/>
      <c r="K19"/>
      <c r="L19"/>
      <c r="M19"/>
    </row>
    <row r="20" spans="2:13" ht="18.75" customHeight="1" x14ac:dyDescent="0.25">
      <c r="B20" s="174" t="s">
        <v>200</v>
      </c>
      <c r="C20" s="175" t="s">
        <v>28</v>
      </c>
      <c r="D20" s="176">
        <f>D17-D18-D21</f>
        <v>-4883.12</v>
      </c>
      <c r="J20"/>
      <c r="K20"/>
      <c r="L20"/>
      <c r="M20"/>
    </row>
    <row r="21" spans="2:13" ht="18.75" customHeight="1" thickBot="1" x14ac:dyDescent="0.3">
      <c r="B21" s="174" t="s">
        <v>202</v>
      </c>
      <c r="C21" s="175" t="s">
        <v>28</v>
      </c>
      <c r="D21" s="165">
        <f>D17*D19</f>
        <v>0</v>
      </c>
      <c r="J21"/>
      <c r="K21"/>
      <c r="L21"/>
      <c r="M21"/>
    </row>
    <row r="22" spans="2:13" ht="18.75" customHeight="1" x14ac:dyDescent="0.25">
      <c r="B22" s="177" t="s">
        <v>66</v>
      </c>
      <c r="C22" s="178"/>
      <c r="D22" s="179"/>
      <c r="J22"/>
      <c r="K22"/>
      <c r="L22"/>
      <c r="M22"/>
    </row>
    <row r="23" spans="2:13" ht="18.75" customHeight="1" x14ac:dyDescent="0.25">
      <c r="B23" s="180" t="s">
        <v>67</v>
      </c>
      <c r="C23" s="181" t="s">
        <v>60</v>
      </c>
      <c r="D23" s="85"/>
      <c r="J23"/>
      <c r="K23"/>
      <c r="L23"/>
      <c r="M23"/>
    </row>
    <row r="24" spans="2:13" ht="18.75" customHeight="1" x14ac:dyDescent="0.25">
      <c r="B24" s="182" t="s">
        <v>137</v>
      </c>
      <c r="C24" s="183" t="s">
        <v>60</v>
      </c>
      <c r="D24" s="80"/>
      <c r="J24"/>
      <c r="K24"/>
      <c r="L24"/>
      <c r="M24"/>
    </row>
    <row r="25" spans="2:13" ht="18.75" customHeight="1" x14ac:dyDescent="0.25">
      <c r="B25" s="182" t="s">
        <v>138</v>
      </c>
      <c r="C25" s="183" t="s">
        <v>60</v>
      </c>
      <c r="D25" s="80"/>
      <c r="J25"/>
      <c r="K25"/>
      <c r="L25"/>
      <c r="M25"/>
    </row>
    <row r="26" spans="2:13" ht="18.75" customHeight="1" thickBot="1" x14ac:dyDescent="0.3">
      <c r="B26" s="184" t="s">
        <v>198</v>
      </c>
      <c r="C26" s="185" t="s">
        <v>60</v>
      </c>
      <c r="D26" s="186">
        <f>D10-D24</f>
        <v>13.7</v>
      </c>
      <c r="J26"/>
      <c r="K26"/>
      <c r="L26"/>
      <c r="M26"/>
    </row>
    <row r="27" spans="2:13" ht="18.75" customHeight="1" x14ac:dyDescent="0.25">
      <c r="B27" s="187" t="s">
        <v>29</v>
      </c>
      <c r="C27" s="188"/>
      <c r="D27" s="189"/>
      <c r="J27"/>
      <c r="K27"/>
      <c r="L27"/>
      <c r="M27"/>
    </row>
    <row r="28" spans="2:13" ht="18.75" customHeight="1" x14ac:dyDescent="0.25">
      <c r="B28" s="190" t="s">
        <v>216</v>
      </c>
      <c r="C28" s="191" t="s">
        <v>197</v>
      </c>
      <c r="D28" s="84"/>
      <c r="J28"/>
      <c r="K28"/>
      <c r="L28"/>
      <c r="M28"/>
    </row>
    <row r="29" spans="2:13" ht="18.75" customHeight="1" thickBot="1" x14ac:dyDescent="0.3">
      <c r="B29" s="192" t="s">
        <v>76</v>
      </c>
      <c r="C29" s="193" t="s">
        <v>61</v>
      </c>
      <c r="D29" s="194">
        <f>D16*D28</f>
        <v>0</v>
      </c>
      <c r="J29"/>
      <c r="K29"/>
      <c r="L29"/>
      <c r="M29"/>
    </row>
    <row r="30" spans="2:13" ht="18.75" customHeight="1" x14ac:dyDescent="0.25">
      <c r="B30" s="195" t="s">
        <v>199</v>
      </c>
      <c r="C30" s="196"/>
      <c r="D30" s="197"/>
      <c r="J30"/>
      <c r="K30"/>
      <c r="L30"/>
      <c r="M30"/>
    </row>
    <row r="31" spans="2:13" ht="18.75" customHeight="1" thickBot="1" x14ac:dyDescent="0.3">
      <c r="B31" s="198" t="s">
        <v>143</v>
      </c>
      <c r="C31" s="199" t="s">
        <v>27</v>
      </c>
      <c r="D31" s="83"/>
      <c r="J31"/>
      <c r="K31"/>
      <c r="L31"/>
      <c r="M31"/>
    </row>
    <row r="32" spans="2:13" ht="18.75" customHeight="1" x14ac:dyDescent="0.2">
      <c r="B32" s="200" t="s">
        <v>203</v>
      </c>
      <c r="C32" s="201"/>
      <c r="D32" s="202"/>
    </row>
    <row r="33" spans="2:6" ht="18.75" customHeight="1" x14ac:dyDescent="0.2">
      <c r="B33" s="203" t="s">
        <v>30</v>
      </c>
      <c r="C33" s="204" t="s">
        <v>61</v>
      </c>
      <c r="D33" s="165">
        <f>D13</f>
        <v>0</v>
      </c>
      <c r="E33" s="154"/>
    </row>
    <row r="34" spans="2:6" ht="18.75" customHeight="1" thickBot="1" x14ac:dyDescent="0.25">
      <c r="B34" s="205" t="s">
        <v>144</v>
      </c>
      <c r="C34" s="206" t="s">
        <v>61</v>
      </c>
      <c r="D34" s="194">
        <f>D10*D31</f>
        <v>0</v>
      </c>
    </row>
    <row r="35" spans="2:6" ht="18.75" customHeight="1" x14ac:dyDescent="0.2">
      <c r="B35" s="207" t="s">
        <v>204</v>
      </c>
      <c r="C35" s="208"/>
      <c r="D35" s="209"/>
    </row>
    <row r="36" spans="2:6" ht="18.75" customHeight="1" x14ac:dyDescent="0.2">
      <c r="B36" s="210" t="s">
        <v>205</v>
      </c>
      <c r="C36" s="211" t="s">
        <v>60</v>
      </c>
      <c r="D36" s="165">
        <f>D23*D11</f>
        <v>0</v>
      </c>
    </row>
    <row r="37" spans="2:6" ht="18.75" customHeight="1" x14ac:dyDescent="0.2">
      <c r="B37" s="210" t="s">
        <v>206</v>
      </c>
      <c r="C37" s="211" t="s">
        <v>146</v>
      </c>
      <c r="D37" s="212" t="e">
        <f>D24/D23</f>
        <v>#DIV/0!</v>
      </c>
    </row>
    <row r="38" spans="2:6" ht="18.75" customHeight="1" x14ac:dyDescent="0.2">
      <c r="B38" s="210" t="s">
        <v>70</v>
      </c>
      <c r="C38" s="211" t="s">
        <v>27</v>
      </c>
      <c r="D38" s="165">
        <f>D31</f>
        <v>0</v>
      </c>
    </row>
    <row r="39" spans="2:6" ht="18.75" customHeight="1" x14ac:dyDescent="0.2">
      <c r="B39" s="210" t="s">
        <v>207</v>
      </c>
      <c r="C39" s="211" t="s">
        <v>208</v>
      </c>
      <c r="D39" s="213">
        <f>J60</f>
        <v>10</v>
      </c>
    </row>
    <row r="40" spans="2:6" ht="18.75" customHeight="1" thickBot="1" x14ac:dyDescent="0.25">
      <c r="B40" s="214" t="s">
        <v>210</v>
      </c>
      <c r="C40" s="215" t="s">
        <v>28</v>
      </c>
      <c r="D40" s="194">
        <f>D20</f>
        <v>-4883.12</v>
      </c>
      <c r="F40" s="154"/>
    </row>
    <row r="41" spans="2:6" ht="14.1" customHeight="1" x14ac:dyDescent="0.2">
      <c r="F41" s="154"/>
    </row>
    <row r="42" spans="2:6" ht="14.1" customHeight="1" x14ac:dyDescent="0.2">
      <c r="B42" s="216"/>
      <c r="F42" s="154"/>
    </row>
    <row r="43" spans="2:6" ht="14.1" customHeight="1" x14ac:dyDescent="0.2">
      <c r="B43" s="216" t="s">
        <v>209</v>
      </c>
    </row>
    <row r="44" spans="2:6" ht="14.1" customHeight="1" x14ac:dyDescent="0.2">
      <c r="B44" s="27" t="s">
        <v>211</v>
      </c>
    </row>
    <row r="45" spans="2:6" ht="14.1" customHeight="1" x14ac:dyDescent="0.2">
      <c r="B45" s="27" t="s">
        <v>212</v>
      </c>
    </row>
    <row r="46" spans="2:6" ht="14.1" customHeight="1" x14ac:dyDescent="0.2">
      <c r="B46" s="27" t="s">
        <v>213</v>
      </c>
    </row>
    <row r="47" spans="2:6" ht="14.1" customHeight="1" x14ac:dyDescent="0.2">
      <c r="B47" s="27" t="s">
        <v>214</v>
      </c>
    </row>
    <row r="48" spans="2:6" ht="14.1" customHeight="1" x14ac:dyDescent="0.2"/>
    <row r="49" spans="1:25" ht="14.1" customHeight="1" x14ac:dyDescent="0.2"/>
    <row r="50" spans="1:25" ht="14.1" customHeight="1" x14ac:dyDescent="0.2"/>
    <row r="51" spans="1:25" ht="14.1" customHeight="1" x14ac:dyDescent="0.2">
      <c r="N51" s="10"/>
      <c r="O51" s="10"/>
      <c r="P51" s="10"/>
    </row>
    <row r="52" spans="1:25" ht="14.1" customHeight="1" x14ac:dyDescent="0.2">
      <c r="N52" s="10"/>
      <c r="O52" s="10"/>
      <c r="P52" s="10"/>
    </row>
    <row r="53" spans="1:25" ht="17.100000000000001" customHeight="1" thickBot="1" x14ac:dyDescent="0.25">
      <c r="B53" s="55"/>
      <c r="N53" s="10"/>
      <c r="O53" s="10"/>
      <c r="P53" s="10"/>
    </row>
    <row r="54" spans="1:25" ht="17.100000000000001" customHeight="1" x14ac:dyDescent="0.2">
      <c r="B54" s="217" t="s">
        <v>43</v>
      </c>
      <c r="C54" s="218"/>
      <c r="D54" s="218"/>
      <c r="E54" s="219" t="s">
        <v>217</v>
      </c>
      <c r="F54" s="219" t="s">
        <v>201</v>
      </c>
      <c r="G54" s="220" t="s">
        <v>24</v>
      </c>
      <c r="N54" s="221"/>
      <c r="O54" s="221"/>
      <c r="P54" s="10"/>
      <c r="Y54" s="222"/>
    </row>
    <row r="55" spans="1:25" ht="17.100000000000001" customHeight="1" x14ac:dyDescent="0.25">
      <c r="A55"/>
      <c r="B55" s="223" t="s">
        <v>78</v>
      </c>
      <c r="C55" s="224"/>
      <c r="D55" s="225" t="s">
        <v>61</v>
      </c>
      <c r="E55" s="92">
        <f>D24*D12+D25*D14-D29</f>
        <v>0</v>
      </c>
      <c r="F55" s="92">
        <f>D33-D34</f>
        <v>0</v>
      </c>
      <c r="G55" s="56">
        <f>D31*D10-(D26*D12-D25*D14)-D16*D28</f>
        <v>0</v>
      </c>
      <c r="H55" s="154"/>
      <c r="N55" s="221"/>
      <c r="O55" s="221"/>
      <c r="P55" s="10"/>
      <c r="Y55" s="222"/>
    </row>
    <row r="56" spans="1:25" ht="14.1" customHeight="1" x14ac:dyDescent="0.25">
      <c r="A56"/>
      <c r="B56" s="226" t="s">
        <v>44</v>
      </c>
      <c r="C56" s="227"/>
      <c r="D56" s="225" t="s">
        <v>28</v>
      </c>
      <c r="E56" s="92">
        <f>D78</f>
        <v>0</v>
      </c>
      <c r="F56" s="92" t="e">
        <f>F55/E55*E56</f>
        <v>#DIV/0!</v>
      </c>
      <c r="G56" s="56" t="e">
        <f>G55/E55*E56</f>
        <v>#DIV/0!</v>
      </c>
      <c r="H56" s="154"/>
      <c r="N56" s="221"/>
      <c r="O56" s="221"/>
      <c r="P56" s="10"/>
      <c r="Y56" s="222"/>
    </row>
    <row r="57" spans="1:25" ht="17.100000000000001" customHeight="1" x14ac:dyDescent="0.25">
      <c r="A57"/>
      <c r="B57" s="226" t="s">
        <v>45</v>
      </c>
      <c r="C57" s="227"/>
      <c r="D57" s="225" t="s">
        <v>28</v>
      </c>
      <c r="E57" s="92">
        <f>M91</f>
        <v>0</v>
      </c>
      <c r="F57" s="92" t="e">
        <f>F55/E55*E57</f>
        <v>#DIV/0!</v>
      </c>
      <c r="G57" s="56" t="e">
        <f>G55/E55*E57</f>
        <v>#DIV/0!</v>
      </c>
      <c r="H57" s="154"/>
      <c r="N57" s="221"/>
      <c r="O57" s="221"/>
      <c r="P57" s="10"/>
      <c r="Y57" s="222"/>
    </row>
    <row r="58" spans="1:25" ht="17.100000000000001" customHeight="1" thickBot="1" x14ac:dyDescent="0.3">
      <c r="A58"/>
      <c r="B58" s="228" t="s">
        <v>80</v>
      </c>
      <c r="C58" s="229"/>
      <c r="D58" s="230" t="s">
        <v>28</v>
      </c>
      <c r="E58" s="93">
        <f>D17-D18</f>
        <v>-4883.12</v>
      </c>
      <c r="F58" s="93">
        <f>D20</f>
        <v>-4883.12</v>
      </c>
      <c r="G58" s="94">
        <f>D21</f>
        <v>0</v>
      </c>
      <c r="H58" s="154"/>
      <c r="N58" s="221"/>
      <c r="O58" s="221"/>
      <c r="P58" s="10"/>
      <c r="Y58" s="222"/>
    </row>
    <row r="59" spans="1:25" ht="30.75" thickBot="1" x14ac:dyDescent="0.3">
      <c r="A59"/>
      <c r="B59"/>
      <c r="C59"/>
      <c r="D59"/>
      <c r="E59"/>
      <c r="J59" s="231" t="s">
        <v>41</v>
      </c>
      <c r="K59" s="24" t="s">
        <v>42</v>
      </c>
      <c r="L59" s="25"/>
      <c r="M59" s="26"/>
      <c r="N59" s="221"/>
      <c r="O59" s="221"/>
      <c r="P59" s="10"/>
      <c r="Y59" s="222"/>
    </row>
    <row r="60" spans="1:25" ht="17.100000000000001" customHeight="1" thickBot="1" x14ac:dyDescent="0.3">
      <c r="A60"/>
      <c r="B60" s="55" t="s">
        <v>34</v>
      </c>
      <c r="E60"/>
      <c r="J60" s="54">
        <f>'IS01'!J60</f>
        <v>10</v>
      </c>
      <c r="K60" s="21" t="s">
        <v>36</v>
      </c>
      <c r="L60" s="22" t="s">
        <v>37</v>
      </c>
      <c r="M60" s="23" t="s">
        <v>38</v>
      </c>
      <c r="N60" s="10"/>
      <c r="O60" s="10"/>
      <c r="P60" s="10"/>
      <c r="Y60" s="216"/>
    </row>
    <row r="61" spans="1:25" ht="15.75" customHeight="1" x14ac:dyDescent="0.25">
      <c r="A61"/>
      <c r="B61" s="13" t="s">
        <v>35</v>
      </c>
      <c r="C61" s="14"/>
      <c r="D61" s="15"/>
      <c r="E61"/>
      <c r="K61" s="232">
        <f>IF($J$60&gt;0, 1, "")</f>
        <v>1</v>
      </c>
      <c r="L61" s="233">
        <f t="shared" ref="L61:L90" si="0">IF($J$60&gt;=K61,$E$55, "")</f>
        <v>0</v>
      </c>
      <c r="M61" s="57">
        <f t="shared" ref="M61:M90" si="1">IF($J$60&gt;=K61,L61/((1+$M$93)^K61), "0")</f>
        <v>0</v>
      </c>
      <c r="N61" s="10"/>
      <c r="O61" s="10"/>
      <c r="P61" s="10"/>
      <c r="Y61" s="216"/>
    </row>
    <row r="62" spans="1:25" ht="15.75" customHeight="1" x14ac:dyDescent="0.25">
      <c r="A62"/>
      <c r="B62" s="2" t="s">
        <v>36</v>
      </c>
      <c r="C62" s="3" t="s">
        <v>37</v>
      </c>
      <c r="D62" s="4" t="s">
        <v>38</v>
      </c>
      <c r="E62"/>
      <c r="K62" s="234">
        <f>IF($J$60&gt;K61, 2, "")</f>
        <v>2</v>
      </c>
      <c r="L62" s="235">
        <f t="shared" si="0"/>
        <v>0</v>
      </c>
      <c r="M62" s="58">
        <f t="shared" si="1"/>
        <v>0</v>
      </c>
      <c r="N62" s="10"/>
      <c r="O62" s="10"/>
      <c r="P62" s="10"/>
      <c r="Y62" s="216"/>
    </row>
    <row r="63" spans="1:25" ht="15.75" customHeight="1" x14ac:dyDescent="0.25">
      <c r="A63"/>
      <c r="B63" s="31">
        <v>1</v>
      </c>
      <c r="C63" s="47">
        <f t="shared" ref="C63:C77" si="2">$E$55</f>
        <v>0</v>
      </c>
      <c r="D63" s="48">
        <f t="shared" ref="D63:D77" si="3">C63/((1+$D$80)^B63)</f>
        <v>0</v>
      </c>
      <c r="E63" s="162"/>
      <c r="K63" s="234">
        <f>IF($J$60&gt;K62,3, "")</f>
        <v>3</v>
      </c>
      <c r="L63" s="235">
        <f t="shared" si="0"/>
        <v>0</v>
      </c>
      <c r="M63" s="58">
        <f t="shared" si="1"/>
        <v>0</v>
      </c>
      <c r="N63" s="236"/>
      <c r="O63" s="236"/>
      <c r="P63" s="10"/>
      <c r="Y63" s="237"/>
    </row>
    <row r="64" spans="1:25" ht="15.75" customHeight="1" x14ac:dyDescent="0.2">
      <c r="B64" s="31">
        <v>2</v>
      </c>
      <c r="C64" s="47">
        <f t="shared" si="2"/>
        <v>0</v>
      </c>
      <c r="D64" s="48">
        <f t="shared" si="3"/>
        <v>0</v>
      </c>
      <c r="E64" s="247"/>
      <c r="K64" s="234">
        <f>IF($J$60&gt;K63, 4, "")</f>
        <v>4</v>
      </c>
      <c r="L64" s="235">
        <f t="shared" si="0"/>
        <v>0</v>
      </c>
      <c r="M64" s="58">
        <f t="shared" si="1"/>
        <v>0</v>
      </c>
      <c r="N64" s="10"/>
      <c r="O64" s="10"/>
      <c r="P64" s="10"/>
    </row>
    <row r="65" spans="2:19" ht="15.75" customHeight="1" x14ac:dyDescent="0.2">
      <c r="B65" s="31">
        <v>3</v>
      </c>
      <c r="C65" s="47">
        <f t="shared" si="2"/>
        <v>0</v>
      </c>
      <c r="D65" s="48">
        <f t="shared" si="3"/>
        <v>0</v>
      </c>
      <c r="E65" s="247"/>
      <c r="K65" s="234">
        <f>IF($J$60&gt;K64, 5, "")</f>
        <v>5</v>
      </c>
      <c r="L65" s="235">
        <f t="shared" si="0"/>
        <v>0</v>
      </c>
      <c r="M65" s="58">
        <f t="shared" si="1"/>
        <v>0</v>
      </c>
      <c r="N65" s="351"/>
      <c r="O65" s="351"/>
      <c r="P65" s="351"/>
    </row>
    <row r="66" spans="2:19" ht="15.75" customHeight="1" x14ac:dyDescent="0.2">
      <c r="B66" s="31">
        <v>4</v>
      </c>
      <c r="C66" s="47">
        <f t="shared" si="2"/>
        <v>0</v>
      </c>
      <c r="D66" s="48">
        <f t="shared" si="3"/>
        <v>0</v>
      </c>
      <c r="E66" s="247"/>
      <c r="G66" s="59"/>
      <c r="K66" s="234">
        <f>IF($J$60&gt;K65, 6, "")</f>
        <v>6</v>
      </c>
      <c r="L66" s="235">
        <f t="shared" si="0"/>
        <v>0</v>
      </c>
      <c r="M66" s="58">
        <f t="shared" si="1"/>
        <v>0</v>
      </c>
      <c r="N66" s="10"/>
      <c r="O66" s="10"/>
      <c r="P66" s="10"/>
    </row>
    <row r="67" spans="2:19" ht="15.75" customHeight="1" x14ac:dyDescent="0.2">
      <c r="B67" s="31">
        <v>5</v>
      </c>
      <c r="C67" s="47">
        <f t="shared" si="2"/>
        <v>0</v>
      </c>
      <c r="D67" s="48">
        <f t="shared" si="3"/>
        <v>0</v>
      </c>
      <c r="E67" s="247"/>
      <c r="I67" s="10"/>
      <c r="K67" s="234">
        <f>IF($J$60&gt;K66, 7, "")</f>
        <v>7</v>
      </c>
      <c r="L67" s="235">
        <f t="shared" si="0"/>
        <v>0</v>
      </c>
      <c r="M67" s="58">
        <f t="shared" si="1"/>
        <v>0</v>
      </c>
      <c r="N67" s="10"/>
      <c r="O67" s="10"/>
      <c r="P67" s="10"/>
    </row>
    <row r="68" spans="2:19" ht="15.75" customHeight="1" x14ac:dyDescent="0.2">
      <c r="B68" s="31">
        <v>6</v>
      </c>
      <c r="C68" s="47">
        <f t="shared" si="2"/>
        <v>0</v>
      </c>
      <c r="D68" s="48">
        <f t="shared" si="3"/>
        <v>0</v>
      </c>
      <c r="E68" s="247"/>
      <c r="I68" s="10"/>
      <c r="K68" s="234">
        <f>IF($J$60&gt;K67, 8, "")</f>
        <v>8</v>
      </c>
      <c r="L68" s="235">
        <f t="shared" si="0"/>
        <v>0</v>
      </c>
      <c r="M68" s="58">
        <f t="shared" si="1"/>
        <v>0</v>
      </c>
      <c r="N68" s="10"/>
      <c r="O68" s="10"/>
      <c r="P68" s="10"/>
      <c r="Q68" s="10"/>
      <c r="R68" s="10"/>
      <c r="S68" s="10"/>
    </row>
    <row r="69" spans="2:19" ht="15.75" customHeight="1" x14ac:dyDescent="0.2">
      <c r="B69" s="31">
        <v>7</v>
      </c>
      <c r="C69" s="47">
        <f t="shared" si="2"/>
        <v>0</v>
      </c>
      <c r="D69" s="48">
        <f t="shared" si="3"/>
        <v>0</v>
      </c>
      <c r="E69" s="247"/>
      <c r="K69" s="234">
        <f>IF($J$60&gt;K68, 9, "")</f>
        <v>9</v>
      </c>
      <c r="L69" s="235">
        <f t="shared" si="0"/>
        <v>0</v>
      </c>
      <c r="M69" s="58">
        <f t="shared" si="1"/>
        <v>0</v>
      </c>
      <c r="N69" s="10"/>
      <c r="O69" s="10"/>
      <c r="P69" s="10"/>
      <c r="Q69" s="10"/>
      <c r="R69" s="10"/>
      <c r="S69" s="10"/>
    </row>
    <row r="70" spans="2:19" ht="15.75" customHeight="1" x14ac:dyDescent="0.2">
      <c r="B70" s="31">
        <v>8</v>
      </c>
      <c r="C70" s="47">
        <f t="shared" si="2"/>
        <v>0</v>
      </c>
      <c r="D70" s="48">
        <f t="shared" si="3"/>
        <v>0</v>
      </c>
      <c r="E70" s="247"/>
      <c r="K70" s="234">
        <f>IF($J$60&gt;K69, 10, "")</f>
        <v>10</v>
      </c>
      <c r="L70" s="235">
        <f t="shared" si="0"/>
        <v>0</v>
      </c>
      <c r="M70" s="58">
        <f t="shared" si="1"/>
        <v>0</v>
      </c>
      <c r="N70" s="10"/>
      <c r="O70" s="10"/>
      <c r="P70" s="10"/>
    </row>
    <row r="71" spans="2:19" ht="15.75" customHeight="1" x14ac:dyDescent="0.2">
      <c r="B71" s="31">
        <v>9</v>
      </c>
      <c r="C71" s="47">
        <f t="shared" si="2"/>
        <v>0</v>
      </c>
      <c r="D71" s="48">
        <f t="shared" si="3"/>
        <v>0</v>
      </c>
      <c r="E71" s="247"/>
      <c r="K71" s="234" t="str">
        <f>IF($J$60&gt;K70, 11, "")</f>
        <v/>
      </c>
      <c r="L71" s="235" t="str">
        <f t="shared" si="0"/>
        <v/>
      </c>
      <c r="M71" s="58" t="str">
        <f t="shared" si="1"/>
        <v>0</v>
      </c>
      <c r="N71" s="10"/>
      <c r="O71" s="10"/>
      <c r="P71" s="10"/>
    </row>
    <row r="72" spans="2:19" ht="15.75" customHeight="1" x14ac:dyDescent="0.2">
      <c r="B72" s="31">
        <v>10</v>
      </c>
      <c r="C72" s="47">
        <f t="shared" si="2"/>
        <v>0</v>
      </c>
      <c r="D72" s="48">
        <f t="shared" si="3"/>
        <v>0</v>
      </c>
      <c r="E72" s="247"/>
      <c r="K72" s="234" t="str">
        <f>IF($J$60&gt;K71, 12, "")</f>
        <v/>
      </c>
      <c r="L72" s="235" t="str">
        <f t="shared" si="0"/>
        <v/>
      </c>
      <c r="M72" s="58" t="str">
        <f t="shared" si="1"/>
        <v>0</v>
      </c>
      <c r="N72" s="10"/>
      <c r="O72" s="10"/>
      <c r="P72" s="10"/>
    </row>
    <row r="73" spans="2:19" ht="15.75" customHeight="1" x14ac:dyDescent="0.2">
      <c r="B73" s="31">
        <v>11</v>
      </c>
      <c r="C73" s="47">
        <f t="shared" si="2"/>
        <v>0</v>
      </c>
      <c r="D73" s="48">
        <f t="shared" si="3"/>
        <v>0</v>
      </c>
      <c r="E73" s="247"/>
      <c r="K73" s="234" t="str">
        <f>IF($J$60&gt;K72, 13, "")</f>
        <v/>
      </c>
      <c r="L73" s="235" t="str">
        <f t="shared" si="0"/>
        <v/>
      </c>
      <c r="M73" s="58" t="str">
        <f t="shared" si="1"/>
        <v>0</v>
      </c>
      <c r="N73" s="10"/>
      <c r="O73" s="10"/>
      <c r="P73" s="10"/>
    </row>
    <row r="74" spans="2:19" ht="15.75" customHeight="1" x14ac:dyDescent="0.2">
      <c r="B74" s="31">
        <v>12</v>
      </c>
      <c r="C74" s="47">
        <f t="shared" si="2"/>
        <v>0</v>
      </c>
      <c r="D74" s="48">
        <f t="shared" si="3"/>
        <v>0</v>
      </c>
      <c r="E74" s="247"/>
      <c r="K74" s="234" t="str">
        <f>IF($J$60&gt;K73, 14, "")</f>
        <v/>
      </c>
      <c r="L74" s="235" t="str">
        <f t="shared" si="0"/>
        <v/>
      </c>
      <c r="M74" s="58" t="str">
        <f t="shared" si="1"/>
        <v>0</v>
      </c>
      <c r="N74" s="10"/>
      <c r="O74" s="10"/>
      <c r="P74" s="10"/>
    </row>
    <row r="75" spans="2:19" ht="15.75" customHeight="1" x14ac:dyDescent="0.2">
      <c r="B75" s="31">
        <v>13</v>
      </c>
      <c r="C75" s="47">
        <f t="shared" si="2"/>
        <v>0</v>
      </c>
      <c r="D75" s="48">
        <f t="shared" si="3"/>
        <v>0</v>
      </c>
      <c r="E75" s="247"/>
      <c r="K75" s="234" t="str">
        <f>IF($J$60&gt;K74, 15, "")</f>
        <v/>
      </c>
      <c r="L75" s="235" t="str">
        <f t="shared" si="0"/>
        <v/>
      </c>
      <c r="M75" s="58" t="str">
        <f t="shared" si="1"/>
        <v>0</v>
      </c>
      <c r="N75" s="10"/>
      <c r="O75" s="10"/>
      <c r="P75" s="10"/>
    </row>
    <row r="76" spans="2:19" ht="15.75" customHeight="1" x14ac:dyDescent="0.25">
      <c r="B76" s="31">
        <v>14</v>
      </c>
      <c r="C76" s="47">
        <f t="shared" si="2"/>
        <v>0</v>
      </c>
      <c r="D76" s="48">
        <f t="shared" si="3"/>
        <v>0</v>
      </c>
      <c r="E76" s="247"/>
      <c r="G76"/>
      <c r="K76" s="234" t="str">
        <f>IF($J$60&gt;K75, 16, "")</f>
        <v/>
      </c>
      <c r="L76" s="235" t="str">
        <f t="shared" si="0"/>
        <v/>
      </c>
      <c r="M76" s="58" t="str">
        <f t="shared" si="1"/>
        <v>0</v>
      </c>
      <c r="N76" s="10"/>
      <c r="O76" s="10"/>
      <c r="P76" s="10"/>
    </row>
    <row r="77" spans="2:19" ht="15.75" customHeight="1" x14ac:dyDescent="0.25">
      <c r="B77" s="31">
        <v>15</v>
      </c>
      <c r="C77" s="47">
        <f t="shared" si="2"/>
        <v>0</v>
      </c>
      <c r="D77" s="48">
        <f t="shared" si="3"/>
        <v>0</v>
      </c>
      <c r="E77" s="247"/>
      <c r="G77"/>
      <c r="K77" s="234" t="str">
        <f>IF($J$60&gt;K76, 17, "")</f>
        <v/>
      </c>
      <c r="L77" s="235" t="str">
        <f t="shared" si="0"/>
        <v/>
      </c>
      <c r="M77" s="58" t="str">
        <f t="shared" si="1"/>
        <v>0</v>
      </c>
      <c r="N77" s="10"/>
      <c r="O77" s="10"/>
      <c r="P77" s="10"/>
    </row>
    <row r="78" spans="2:19" ht="15.75" customHeight="1" thickBot="1" x14ac:dyDescent="0.3">
      <c r="B78" s="12" t="s">
        <v>39</v>
      </c>
      <c r="C78" s="51">
        <f>SUM(C63:C77)</f>
        <v>0</v>
      </c>
      <c r="D78" s="52">
        <f>SUM(D63:D77)</f>
        <v>0</v>
      </c>
      <c r="E78" s="162"/>
      <c r="F78" s="238"/>
      <c r="G78" s="238"/>
      <c r="K78" s="234" t="str">
        <f>IF($J$60&gt;K77, 18, "")</f>
        <v/>
      </c>
      <c r="L78" s="235" t="str">
        <f t="shared" si="0"/>
        <v/>
      </c>
      <c r="M78" s="58" t="str">
        <f t="shared" si="1"/>
        <v>0</v>
      </c>
      <c r="N78" s="10"/>
      <c r="O78" s="10"/>
      <c r="P78" s="10"/>
    </row>
    <row r="79" spans="2:19" ht="15.75" customHeight="1" x14ac:dyDescent="0.25">
      <c r="B79" s="239"/>
      <c r="C79" s="240"/>
      <c r="D79" s="241"/>
      <c r="E79"/>
      <c r="F79"/>
      <c r="G79"/>
      <c r="K79" s="234" t="str">
        <f>IF($J$60&gt;K78, 19, "")</f>
        <v/>
      </c>
      <c r="L79" s="235" t="str">
        <f t="shared" si="0"/>
        <v/>
      </c>
      <c r="M79" s="58" t="str">
        <f t="shared" si="1"/>
        <v>0</v>
      </c>
      <c r="N79" s="10"/>
      <c r="O79" s="10"/>
      <c r="P79" s="10"/>
    </row>
    <row r="80" spans="2:19" ht="15.75" customHeight="1" thickBot="1" x14ac:dyDescent="0.3">
      <c r="B80" s="242" t="s">
        <v>40</v>
      </c>
      <c r="C80" s="243"/>
      <c r="D80" s="60">
        <v>0.04</v>
      </c>
      <c r="E80"/>
      <c r="F80"/>
      <c r="G80" s="238"/>
      <c r="K80" s="234" t="str">
        <f>IF($J$60&gt;K79, 20, "")</f>
        <v/>
      </c>
      <c r="L80" s="235" t="str">
        <f t="shared" si="0"/>
        <v/>
      </c>
      <c r="M80" s="58" t="str">
        <f t="shared" si="1"/>
        <v>0</v>
      </c>
      <c r="N80" s="10"/>
      <c r="O80" s="10"/>
      <c r="P80" s="10"/>
      <c r="Q80" s="10"/>
      <c r="R80" s="10"/>
      <c r="S80" s="10"/>
    </row>
    <row r="81" spans="1:19" ht="15.75" customHeight="1" x14ac:dyDescent="0.25">
      <c r="B81"/>
      <c r="C81"/>
      <c r="D81"/>
      <c r="E81"/>
      <c r="F81"/>
      <c r="G81"/>
      <c r="K81" s="234" t="str">
        <f>IF($J$60&gt;K80, 21, "")</f>
        <v/>
      </c>
      <c r="L81" s="235" t="str">
        <f t="shared" si="0"/>
        <v/>
      </c>
      <c r="M81" s="58" t="str">
        <f t="shared" si="1"/>
        <v>0</v>
      </c>
      <c r="N81" s="10"/>
      <c r="O81" s="10"/>
      <c r="P81" s="10"/>
      <c r="Q81" s="10"/>
      <c r="R81" s="10"/>
      <c r="S81" s="10"/>
    </row>
    <row r="82" spans="1:19" ht="15.75" customHeight="1" x14ac:dyDescent="0.25">
      <c r="B82"/>
      <c r="C82"/>
      <c r="D82"/>
      <c r="E82"/>
      <c r="F82"/>
      <c r="G82"/>
      <c r="K82" s="234" t="str">
        <f>IF($J$60&gt;K81, 22, "")</f>
        <v/>
      </c>
      <c r="L82" s="235" t="str">
        <f t="shared" si="0"/>
        <v/>
      </c>
      <c r="M82" s="58" t="str">
        <f t="shared" si="1"/>
        <v>0</v>
      </c>
      <c r="N82" s="10"/>
      <c r="O82" s="10"/>
      <c r="P82" s="10"/>
    </row>
    <row r="83" spans="1:19" ht="15.75" customHeight="1" x14ac:dyDescent="0.25">
      <c r="B83"/>
      <c r="C83"/>
      <c r="D83"/>
      <c r="E83"/>
      <c r="F83"/>
      <c r="G83"/>
      <c r="K83" s="234" t="str">
        <f>IF($J$60&gt;K82, 23, "")</f>
        <v/>
      </c>
      <c r="L83" s="235" t="str">
        <f t="shared" si="0"/>
        <v/>
      </c>
      <c r="M83" s="58" t="str">
        <f t="shared" si="1"/>
        <v>0</v>
      </c>
      <c r="N83" s="351"/>
      <c r="O83" s="351"/>
      <c r="P83" s="10"/>
    </row>
    <row r="84" spans="1:19" ht="15.75" customHeight="1" x14ac:dyDescent="0.25">
      <c r="B84"/>
      <c r="C84"/>
      <c r="D84"/>
      <c r="E84"/>
      <c r="F84"/>
      <c r="G84"/>
      <c r="K84" s="234" t="str">
        <f>IF($J$60&gt;K83, 24, "")</f>
        <v/>
      </c>
      <c r="L84" s="235" t="str">
        <f t="shared" si="0"/>
        <v/>
      </c>
      <c r="M84" s="58" t="str">
        <f t="shared" si="1"/>
        <v>0</v>
      </c>
      <c r="N84" s="351"/>
      <c r="O84" s="351"/>
      <c r="P84" s="351"/>
    </row>
    <row r="85" spans="1:19" ht="15.75" customHeight="1" x14ac:dyDescent="0.25">
      <c r="B85"/>
      <c r="C85"/>
      <c r="D85"/>
      <c r="E85"/>
      <c r="F85"/>
      <c r="G85"/>
      <c r="K85" s="234" t="str">
        <f>IF($J$60&gt;K84, 25, "")</f>
        <v/>
      </c>
      <c r="L85" s="235" t="str">
        <f t="shared" si="0"/>
        <v/>
      </c>
      <c r="M85" s="58" t="str">
        <f t="shared" si="1"/>
        <v>0</v>
      </c>
      <c r="N85" s="10"/>
      <c r="O85" s="10"/>
      <c r="P85" s="10"/>
    </row>
    <row r="86" spans="1:19" ht="15.75" customHeight="1" x14ac:dyDescent="0.25">
      <c r="B86"/>
      <c r="C86"/>
      <c r="D86"/>
      <c r="E86"/>
      <c r="F86"/>
      <c r="G86"/>
      <c r="K86" s="234" t="str">
        <f>IF($J$60&gt;K85, 26, "")</f>
        <v/>
      </c>
      <c r="L86" s="235" t="str">
        <f>IF($J$60&gt;=K86,$E$55, "")</f>
        <v/>
      </c>
      <c r="M86" s="58" t="str">
        <f t="shared" si="1"/>
        <v>0</v>
      </c>
      <c r="N86" s="10"/>
      <c r="O86" s="10"/>
      <c r="P86" s="10"/>
    </row>
    <row r="87" spans="1:19" ht="15.75" customHeight="1" x14ac:dyDescent="0.25">
      <c r="A87"/>
      <c r="B87"/>
      <c r="C87"/>
      <c r="D87"/>
      <c r="E87"/>
      <c r="F87"/>
      <c r="G87"/>
      <c r="K87" s="234" t="str">
        <f>IF($J$60&gt;K86, 27, "")</f>
        <v/>
      </c>
      <c r="L87" s="235" t="str">
        <f t="shared" si="0"/>
        <v/>
      </c>
      <c r="M87" s="58" t="str">
        <f t="shared" si="1"/>
        <v>0</v>
      </c>
    </row>
    <row r="88" spans="1:19" ht="15.75" customHeight="1" x14ac:dyDescent="0.25">
      <c r="A88"/>
      <c r="B88"/>
      <c r="C88"/>
      <c r="D88"/>
      <c r="E88"/>
      <c r="F88"/>
      <c r="K88" s="234" t="str">
        <f>IF($J$60&gt;K87, 28, "")</f>
        <v/>
      </c>
      <c r="L88" s="235" t="str">
        <f t="shared" si="0"/>
        <v/>
      </c>
      <c r="M88" s="58" t="str">
        <f t="shared" si="1"/>
        <v>0</v>
      </c>
    </row>
    <row r="89" spans="1:19" ht="15.75" customHeight="1" x14ac:dyDescent="0.25">
      <c r="A89"/>
      <c r="B89"/>
      <c r="C89"/>
      <c r="D89"/>
      <c r="E89"/>
      <c r="F89"/>
      <c r="K89" s="234" t="str">
        <f>IF($J$60&gt;K88, 29, "")</f>
        <v/>
      </c>
      <c r="L89" s="235" t="str">
        <f t="shared" si="0"/>
        <v/>
      </c>
      <c r="M89" s="58" t="str">
        <f t="shared" si="1"/>
        <v>0</v>
      </c>
    </row>
    <row r="90" spans="1:19" ht="15.75" customHeight="1" x14ac:dyDescent="0.25">
      <c r="A90"/>
      <c r="B90"/>
      <c r="C90"/>
      <c r="D90"/>
      <c r="E90"/>
      <c r="F90"/>
      <c r="K90" s="234" t="str">
        <f>IF($J$60&gt;K89, 30, "")</f>
        <v/>
      </c>
      <c r="L90" s="235" t="str">
        <f t="shared" si="0"/>
        <v/>
      </c>
      <c r="M90" s="58" t="str">
        <f t="shared" si="1"/>
        <v>0</v>
      </c>
    </row>
    <row r="91" spans="1:19" ht="15.75" customHeight="1" x14ac:dyDescent="0.25">
      <c r="A91"/>
      <c r="B91"/>
      <c r="C91"/>
      <c r="D91"/>
      <c r="E91"/>
      <c r="F91"/>
      <c r="K91" s="2" t="s">
        <v>39</v>
      </c>
      <c r="L91" s="49">
        <f>SUM(L61:L90)</f>
        <v>0</v>
      </c>
      <c r="M91" s="50">
        <f>SUM(M61:M80)</f>
        <v>0</v>
      </c>
    </row>
    <row r="92" spans="1:19" ht="15.75" customHeight="1" x14ac:dyDescent="0.25">
      <c r="A92"/>
      <c r="B92"/>
      <c r="C92"/>
      <c r="D92"/>
      <c r="E92"/>
      <c r="F92"/>
      <c r="K92" s="245"/>
      <c r="L92" s="246"/>
      <c r="M92" s="28"/>
    </row>
    <row r="93" spans="1:19" ht="15.75" customHeight="1" thickBot="1" x14ac:dyDescent="0.3">
      <c r="A93"/>
      <c r="B93"/>
      <c r="C93"/>
      <c r="D93"/>
      <c r="E93"/>
      <c r="F93"/>
      <c r="K93" s="242" t="s">
        <v>40</v>
      </c>
      <c r="L93" s="243"/>
      <c r="M93" s="60">
        <v>0.04</v>
      </c>
    </row>
    <row r="94" spans="1:19" ht="15" x14ac:dyDescent="0.25">
      <c r="A94"/>
      <c r="B94"/>
      <c r="C94"/>
      <c r="D94"/>
      <c r="E94"/>
      <c r="F94"/>
    </row>
    <row r="95" spans="1:19" ht="14.1" customHeight="1" x14ac:dyDescent="0.2"/>
    <row r="96" spans="1:19" ht="14.1" customHeight="1" x14ac:dyDescent="0.2"/>
    <row r="97" s="27" customFormat="1" ht="14.1" customHeight="1" x14ac:dyDescent="0.2"/>
    <row r="98" s="27" customFormat="1" ht="14.1" customHeight="1" x14ac:dyDescent="0.2"/>
    <row r="99" s="27" customFormat="1" ht="14.1" customHeight="1" x14ac:dyDescent="0.2"/>
    <row r="100" s="27" customFormat="1" ht="14.1" customHeight="1" x14ac:dyDescent="0.2"/>
    <row r="101" s="27" customFormat="1" ht="14.1" customHeight="1" x14ac:dyDescent="0.2"/>
    <row r="102" s="27" customFormat="1" ht="14.1" customHeight="1" x14ac:dyDescent="0.2"/>
    <row r="103" s="27" customFormat="1" ht="14.1" customHeight="1" x14ac:dyDescent="0.2"/>
    <row r="104" s="27" customFormat="1" ht="14.1" customHeight="1" x14ac:dyDescent="0.2"/>
    <row r="105" s="27" customFormat="1" ht="14.1" customHeight="1" x14ac:dyDescent="0.2"/>
    <row r="106" s="27" customFormat="1" ht="14.1" customHeight="1" x14ac:dyDescent="0.2"/>
    <row r="107" s="27" customFormat="1" ht="14.1" customHeight="1" x14ac:dyDescent="0.2"/>
    <row r="108" s="27" customFormat="1" ht="14.1" customHeight="1" x14ac:dyDescent="0.2"/>
    <row r="109" s="27" customFormat="1" ht="14.1" customHeight="1" x14ac:dyDescent="0.2"/>
    <row r="110" s="27" customFormat="1" ht="14.1" customHeight="1" x14ac:dyDescent="0.2"/>
    <row r="111" s="27" customFormat="1" ht="14.1" customHeight="1" x14ac:dyDescent="0.2"/>
    <row r="112" s="27" customFormat="1" ht="14.1" customHeight="1" x14ac:dyDescent="0.2"/>
    <row r="113" s="27" customFormat="1" ht="14.1" customHeight="1" x14ac:dyDescent="0.2"/>
    <row r="114" s="27" customFormat="1" ht="14.1" customHeight="1" x14ac:dyDescent="0.2"/>
    <row r="115" s="27" customFormat="1" ht="14.1" customHeight="1" x14ac:dyDescent="0.2"/>
    <row r="116" s="27" customFormat="1" ht="14.1" customHeight="1" x14ac:dyDescent="0.2"/>
    <row r="117" s="27" customFormat="1" ht="14.1" customHeight="1" x14ac:dyDescent="0.2"/>
    <row r="118" s="27" customFormat="1" ht="14.1" customHeight="1" x14ac:dyDescent="0.2"/>
    <row r="119" s="27" customFormat="1" ht="14.1" customHeight="1" x14ac:dyDescent="0.2"/>
    <row r="120" s="27" customFormat="1" ht="14.1" customHeight="1" x14ac:dyDescent="0.2"/>
    <row r="121" s="27" customFormat="1" ht="14.1" customHeight="1" x14ac:dyDescent="0.2"/>
    <row r="122" s="27" customFormat="1" ht="14.1" customHeight="1" x14ac:dyDescent="0.2"/>
    <row r="123" s="27" customFormat="1" ht="14.1" customHeight="1" x14ac:dyDescent="0.2"/>
    <row r="124" s="27" customFormat="1" ht="14.1" customHeight="1" x14ac:dyDescent="0.2"/>
    <row r="125" s="27" customFormat="1" ht="14.1" customHeight="1" x14ac:dyDescent="0.2"/>
    <row r="126" s="27" customFormat="1" ht="14.1" customHeight="1" x14ac:dyDescent="0.2"/>
    <row r="127" s="27" customFormat="1" ht="14.1" customHeight="1" x14ac:dyDescent="0.2"/>
    <row r="128" s="27" customFormat="1" ht="14.1" customHeight="1" x14ac:dyDescent="0.2"/>
    <row r="129" s="27" customFormat="1" ht="14.1" customHeight="1" x14ac:dyDescent="0.2"/>
    <row r="130" s="27" customFormat="1" ht="14.1" customHeight="1" x14ac:dyDescent="0.2"/>
    <row r="131" s="27" customFormat="1" ht="14.1" customHeight="1" x14ac:dyDescent="0.2"/>
    <row r="132" s="27" customFormat="1" ht="14.1" customHeight="1" x14ac:dyDescent="0.2"/>
    <row r="133" s="27" customFormat="1" ht="14.1" customHeight="1" x14ac:dyDescent="0.2"/>
    <row r="134" s="27" customFormat="1" ht="14.1" customHeight="1" x14ac:dyDescent="0.2"/>
    <row r="135" s="27" customFormat="1" ht="14.1" customHeight="1" x14ac:dyDescent="0.2"/>
    <row r="136" s="27" customFormat="1" ht="14.1" customHeight="1" x14ac:dyDescent="0.2"/>
    <row r="137" s="27" customFormat="1" ht="14.1" customHeight="1" x14ac:dyDescent="0.2"/>
    <row r="138" s="27" customFormat="1" ht="14.1" customHeight="1" x14ac:dyDescent="0.2"/>
    <row r="139" s="27" customFormat="1" ht="14.1" customHeight="1" x14ac:dyDescent="0.2"/>
    <row r="140" s="27" customFormat="1" ht="14.1" customHeight="1" x14ac:dyDescent="0.2"/>
    <row r="141" s="27" customFormat="1" ht="14.1" customHeight="1" x14ac:dyDescent="0.2"/>
    <row r="142" s="27" customFormat="1" ht="14.1" customHeight="1" x14ac:dyDescent="0.2"/>
    <row r="143" s="27" customFormat="1" ht="14.1" customHeight="1" x14ac:dyDescent="0.2"/>
    <row r="144" s="27" customFormat="1" ht="14.1" customHeight="1" x14ac:dyDescent="0.2"/>
    <row r="145" s="27" customFormat="1" ht="14.1" customHeight="1" x14ac:dyDescent="0.2"/>
    <row r="146" s="27" customFormat="1" ht="14.1" customHeight="1" x14ac:dyDescent="0.2"/>
    <row r="147" s="27" customFormat="1" ht="14.1" customHeight="1" x14ac:dyDescent="0.2"/>
    <row r="148" s="27" customFormat="1" ht="14.1" customHeight="1" x14ac:dyDescent="0.2"/>
    <row r="149" s="27" customFormat="1" ht="14.1" customHeight="1" x14ac:dyDescent="0.2"/>
    <row r="150" s="27" customFormat="1" ht="14.1" customHeight="1" x14ac:dyDescent="0.2"/>
    <row r="151" s="27" customFormat="1" ht="14.1" customHeight="1" x14ac:dyDescent="0.2"/>
    <row r="152" s="27" customFormat="1" ht="14.1" customHeight="1" x14ac:dyDescent="0.2"/>
    <row r="153" s="27" customFormat="1" ht="14.1" customHeight="1" x14ac:dyDescent="0.2"/>
    <row r="154" s="27" customFormat="1" ht="14.1" customHeight="1" x14ac:dyDescent="0.2"/>
    <row r="155" s="27" customFormat="1" ht="14.1" customHeight="1" x14ac:dyDescent="0.2"/>
    <row r="156" s="27" customFormat="1" ht="14.1" customHeight="1" x14ac:dyDescent="0.2"/>
    <row r="157" s="27" customFormat="1" ht="14.1" customHeight="1" x14ac:dyDescent="0.2"/>
    <row r="158" s="27" customFormat="1" ht="14.1" customHeight="1" x14ac:dyDescent="0.2"/>
    <row r="159" s="27" customFormat="1" ht="14.1" customHeight="1" x14ac:dyDescent="0.2"/>
    <row r="160" s="27" customFormat="1" ht="14.1" customHeight="1" x14ac:dyDescent="0.2"/>
    <row r="161" s="27" customFormat="1" ht="14.1" customHeight="1" x14ac:dyDescent="0.2"/>
    <row r="162" s="27" customFormat="1" ht="14.1" customHeight="1" x14ac:dyDescent="0.2"/>
    <row r="163" s="27" customFormat="1" ht="14.1" customHeight="1" x14ac:dyDescent="0.2"/>
    <row r="164" s="27" customFormat="1" ht="14.1" customHeight="1" x14ac:dyDescent="0.2"/>
    <row r="165" s="27" customFormat="1" ht="14.1" customHeight="1" x14ac:dyDescent="0.2"/>
    <row r="166" s="27" customFormat="1" ht="14.1" customHeight="1" x14ac:dyDescent="0.2"/>
    <row r="167" s="27" customFormat="1" ht="14.1" customHeight="1" x14ac:dyDescent="0.2"/>
    <row r="168" s="27" customFormat="1" ht="14.1" customHeight="1" x14ac:dyDescent="0.2"/>
    <row r="169" s="27" customFormat="1" ht="14.1" customHeight="1" x14ac:dyDescent="0.2"/>
    <row r="170" s="27" customFormat="1" ht="14.1" customHeight="1" x14ac:dyDescent="0.2"/>
    <row r="171" s="27" customFormat="1" ht="14.1" customHeight="1" x14ac:dyDescent="0.2"/>
    <row r="172" s="27" customFormat="1" ht="14.1" customHeight="1" x14ac:dyDescent="0.2"/>
    <row r="173" s="27" customFormat="1" ht="14.1" customHeight="1" x14ac:dyDescent="0.2"/>
    <row r="174" s="27" customFormat="1" ht="14.1" customHeight="1" x14ac:dyDescent="0.2"/>
    <row r="175" s="27" customFormat="1" ht="14.1" customHeight="1" x14ac:dyDescent="0.2"/>
    <row r="176" s="27" customFormat="1" ht="14.1" customHeight="1" x14ac:dyDescent="0.2"/>
    <row r="177" s="27" customFormat="1" ht="14.1" customHeight="1" x14ac:dyDescent="0.2"/>
    <row r="178" s="27" customFormat="1" ht="14.1" customHeight="1" x14ac:dyDescent="0.2"/>
    <row r="179" s="27" customFormat="1" ht="14.1" customHeight="1" x14ac:dyDescent="0.2"/>
    <row r="180" s="27" customFormat="1" ht="14.1" customHeight="1" x14ac:dyDescent="0.2"/>
    <row r="181" s="27" customFormat="1" ht="14.1" customHeight="1" x14ac:dyDescent="0.2"/>
    <row r="182" s="27" customFormat="1" ht="14.1" customHeight="1" x14ac:dyDescent="0.2"/>
    <row r="183" s="27" customFormat="1" ht="14.1" customHeight="1" x14ac:dyDescent="0.2"/>
    <row r="184" s="27" customFormat="1" ht="14.1" customHeight="1" x14ac:dyDescent="0.2"/>
    <row r="185" s="27" customFormat="1" ht="14.1" customHeight="1" x14ac:dyDescent="0.2"/>
    <row r="186" s="27" customFormat="1" ht="14.1" customHeight="1" x14ac:dyDescent="0.2"/>
    <row r="187" s="27" customFormat="1" ht="14.1" customHeight="1" x14ac:dyDescent="0.2"/>
    <row r="188" s="27" customFormat="1" ht="14.1" customHeight="1" x14ac:dyDescent="0.2"/>
    <row r="189" s="27" customFormat="1" ht="14.1" customHeight="1" x14ac:dyDescent="0.2"/>
    <row r="190" s="27" customFormat="1" ht="14.1" customHeight="1" x14ac:dyDescent="0.2"/>
    <row r="191" s="27" customFormat="1" ht="14.1" customHeight="1" x14ac:dyDescent="0.2"/>
  </sheetData>
  <sheetProtection sheet="1" selectLockedCells="1"/>
  <mergeCells count="5">
    <mergeCell ref="B6:C6"/>
    <mergeCell ref="B8:C8"/>
    <mergeCell ref="N65:P65"/>
    <mergeCell ref="N83:O83"/>
    <mergeCell ref="N84:P84"/>
  </mergeCells>
  <pageMargins left="0.25" right="0.25" top="0.75" bottom="0.75" header="0.3" footer="0.3"/>
  <pageSetup paperSize="9" scale="46" fitToHeight="0" orientation="portrait" r:id="rId1"/>
  <headerFooter>
    <oddFooter>&amp;L&amp;A&amp;R&amp;P/&amp;N</oddFooter>
  </headerFooter>
  <rowBreaks count="1" manualBreakCount="1">
    <brk id="52" max="12" man="1"/>
  </rowBreaks>
  <colBreaks count="1" manualBreakCount="1">
    <brk id="8" max="121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01C7153-E298-42DF-822D-E7AE782E6CF8}">
          <x14:formula1>
            <xm:f>'Osnovni podatki'!$B$6:$B$40</xm:f>
          </x14:formula1>
          <xm:sqref>D6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74205-32F8-4889-B4AE-8AB329707528}">
  <sheetPr>
    <tabColor rgb="FFFFFF00"/>
    <pageSetUpPr fitToPage="1"/>
  </sheetPr>
  <dimension ref="A1:Y191"/>
  <sheetViews>
    <sheetView showGridLines="0" view="pageBreakPreview" zoomScale="85" zoomScaleNormal="100" zoomScaleSheetLayoutView="85" workbookViewId="0">
      <selection activeCell="D11" sqref="D11"/>
    </sheetView>
  </sheetViews>
  <sheetFormatPr defaultColWidth="9.140625" defaultRowHeight="12.75" x14ac:dyDescent="0.2"/>
  <cols>
    <col min="1" max="1" width="4.85546875" style="27" customWidth="1"/>
    <col min="2" max="2" width="43.5703125" style="27" customWidth="1"/>
    <col min="3" max="3" width="15" style="27" customWidth="1"/>
    <col min="4" max="4" width="18.85546875" style="27" customWidth="1"/>
    <col min="5" max="8" width="15" style="27" customWidth="1"/>
    <col min="9" max="9" width="8.28515625" style="27" customWidth="1"/>
    <col min="10" max="10" width="14.7109375" style="27" customWidth="1"/>
    <col min="11" max="11" width="13.85546875" style="27" customWidth="1"/>
    <col min="12" max="12" width="15.5703125" style="27" customWidth="1"/>
    <col min="13" max="13" width="16.140625" style="27" customWidth="1"/>
    <col min="14" max="14" width="18.42578125" style="27" customWidth="1"/>
    <col min="15" max="15" width="14.7109375" style="27" bestFit="1" customWidth="1"/>
    <col min="16" max="16" width="9.140625" style="27" customWidth="1"/>
    <col min="17" max="24" width="9.140625" style="27"/>
    <col min="25" max="25" width="14.5703125" style="27" bestFit="1" customWidth="1"/>
    <col min="26" max="16384" width="9.140625" style="27"/>
  </cols>
  <sheetData>
    <row r="1" spans="2:13" ht="14.1" customHeight="1" x14ac:dyDescent="0.2">
      <c r="B1" s="11"/>
      <c r="E1" s="11"/>
    </row>
    <row r="2" spans="2:13" ht="28.35" customHeight="1" x14ac:dyDescent="0.2">
      <c r="B2" s="53" t="s">
        <v>31</v>
      </c>
    </row>
    <row r="3" spans="2:13" ht="14.1" customHeight="1" x14ac:dyDescent="0.2"/>
    <row r="4" spans="2:13" ht="19.7" customHeight="1" thickBot="1" x14ac:dyDescent="0.25">
      <c r="B4" s="55" t="s">
        <v>2</v>
      </c>
    </row>
    <row r="5" spans="2:13" ht="18" customHeight="1" x14ac:dyDescent="0.2">
      <c r="B5" s="1" t="s">
        <v>32</v>
      </c>
      <c r="C5" s="29"/>
      <c r="D5" s="30"/>
    </row>
    <row r="6" spans="2:13" ht="18" customHeight="1" x14ac:dyDescent="0.2">
      <c r="B6" s="352" t="s">
        <v>6</v>
      </c>
      <c r="C6" s="353"/>
      <c r="D6" s="28">
        <v>3</v>
      </c>
      <c r="H6" s="154"/>
      <c r="J6" s="154"/>
      <c r="K6" s="154"/>
    </row>
    <row r="7" spans="2:13" ht="18" customHeight="1" x14ac:dyDescent="0.2">
      <c r="B7" s="155" t="s">
        <v>7</v>
      </c>
      <c r="C7" s="156"/>
      <c r="D7" s="157" t="str">
        <f ca="1">MID(CELL("filename", A1), FIND("]", CELL("filename", A1)) + 1, LEN(CELL("filename", A1)) - FIND("]", CELL("filename", A1)))</f>
        <v>IS03</v>
      </c>
      <c r="H7" s="154"/>
      <c r="J7" s="154"/>
      <c r="K7" s="154"/>
    </row>
    <row r="8" spans="2:13" ht="30" customHeight="1" thickBot="1" x14ac:dyDescent="0.25">
      <c r="B8" s="354" t="s">
        <v>58</v>
      </c>
      <c r="C8" s="355"/>
      <c r="D8" s="158" t="str">
        <f>INDEX('Referenčne količine'!$B$4:$M$12,MATCH($B8,('Referenčne količine'!$B$4:$B$12),0),MATCH($D$6,'Referenčne količine'!$B$5:$M$5,0))</f>
        <v>SE Podružnica šola Kapele</v>
      </c>
      <c r="H8" s="154"/>
      <c r="J8" s="154"/>
      <c r="K8" s="154"/>
    </row>
    <row r="9" spans="2:13" ht="18.75" customHeight="1" x14ac:dyDescent="0.25">
      <c r="B9" s="159" t="s">
        <v>215</v>
      </c>
      <c r="C9" s="160"/>
      <c r="D9" s="161"/>
      <c r="H9" s="154"/>
      <c r="J9"/>
      <c r="K9" s="162"/>
      <c r="L9"/>
      <c r="M9"/>
    </row>
    <row r="10" spans="2:13" ht="18.75" customHeight="1" x14ac:dyDescent="0.25">
      <c r="B10" s="163" t="s">
        <v>62</v>
      </c>
      <c r="C10" s="164" t="s">
        <v>60</v>
      </c>
      <c r="D10" s="165">
        <f>INDEX('Referenčne količine'!$B$9:$M$12,MATCH(B10,('Referenčne količine'!$B$9:$B$12),0),MATCH($D$6,'Referenčne količine'!$B$5:$M$5,0))</f>
        <v>52.43</v>
      </c>
      <c r="H10" s="154"/>
      <c r="J10"/>
      <c r="K10" s="162"/>
      <c r="L10"/>
      <c r="M10"/>
    </row>
    <row r="11" spans="2:13" ht="18.75" customHeight="1" x14ac:dyDescent="0.25">
      <c r="B11" s="163" t="s">
        <v>148</v>
      </c>
      <c r="C11" s="164" t="s">
        <v>46</v>
      </c>
      <c r="D11" s="80"/>
      <c r="H11" s="154"/>
      <c r="J11" s="162"/>
      <c r="K11" s="162"/>
      <c r="L11"/>
      <c r="M11"/>
    </row>
    <row r="12" spans="2:13" ht="18.75" customHeight="1" x14ac:dyDescent="0.25">
      <c r="B12" s="163" t="s">
        <v>64</v>
      </c>
      <c r="C12" s="164" t="s">
        <v>27</v>
      </c>
      <c r="D12" s="165">
        <f>INDEX('Referenčne količine'!$B$9:$M$12,MATCH(B12,('Referenčne količine'!$B$9:$B$12),0),MATCH($D$6,'Referenčne količine'!$B$5:$M$5,0))</f>
        <v>0</v>
      </c>
      <c r="J12"/>
      <c r="K12"/>
      <c r="L12"/>
      <c r="M12"/>
    </row>
    <row r="13" spans="2:13" ht="18.75" customHeight="1" x14ac:dyDescent="0.25">
      <c r="B13" s="163" t="s">
        <v>65</v>
      </c>
      <c r="C13" s="164" t="s">
        <v>61</v>
      </c>
      <c r="D13" s="165">
        <f>INDEX('Referenčne količine'!$B$9:$M$12,MATCH(B13,('Referenčne količine'!$B$9:$B$12),0),MATCH($D$6,'Referenčne količine'!$B$5:$M$5,0))</f>
        <v>0</v>
      </c>
      <c r="J13"/>
      <c r="K13"/>
      <c r="L13"/>
      <c r="M13"/>
    </row>
    <row r="14" spans="2:13" ht="18.75" customHeight="1" thickBot="1" x14ac:dyDescent="0.3">
      <c r="B14" s="166" t="s">
        <v>145</v>
      </c>
      <c r="C14" s="167" t="s">
        <v>27</v>
      </c>
      <c r="D14" s="153"/>
      <c r="J14"/>
      <c r="K14"/>
      <c r="L14"/>
      <c r="M14"/>
    </row>
    <row r="15" spans="2:13" ht="18.75" customHeight="1" x14ac:dyDescent="0.25">
      <c r="B15" s="168" t="s">
        <v>77</v>
      </c>
      <c r="C15" s="169"/>
      <c r="D15" s="170"/>
      <c r="J15"/>
      <c r="K15"/>
      <c r="L15"/>
      <c r="M15"/>
    </row>
    <row r="16" spans="2:13" ht="18.75" customHeight="1" x14ac:dyDescent="0.25">
      <c r="B16" s="171" t="s">
        <v>140</v>
      </c>
      <c r="C16" s="172" t="s">
        <v>141</v>
      </c>
      <c r="D16" s="28">
        <f>IFERROR(VLOOKUP(D$6,'Osnovni podatki'!$B$6:$I$41,7,FALSE),"")</f>
        <v>44.88</v>
      </c>
      <c r="J16"/>
      <c r="K16"/>
      <c r="L16"/>
      <c r="M16"/>
    </row>
    <row r="17" spans="2:13" ht="18.75" customHeight="1" x14ac:dyDescent="0.25">
      <c r="B17" s="171" t="s">
        <v>77</v>
      </c>
      <c r="C17" s="172" t="s">
        <v>28</v>
      </c>
      <c r="D17" s="78"/>
      <c r="G17" s="173"/>
      <c r="J17"/>
      <c r="K17"/>
      <c r="L17"/>
      <c r="M17"/>
    </row>
    <row r="18" spans="2:13" ht="18.75" customHeight="1" x14ac:dyDescent="0.25">
      <c r="B18" s="171" t="s">
        <v>79</v>
      </c>
      <c r="C18" s="172" t="s">
        <v>28</v>
      </c>
      <c r="D18" s="79">
        <f>D16*358</f>
        <v>16067.04</v>
      </c>
      <c r="J18"/>
      <c r="K18"/>
      <c r="L18"/>
      <c r="M18"/>
    </row>
    <row r="19" spans="2:13" ht="18.75" customHeight="1" x14ac:dyDescent="0.25">
      <c r="B19" s="174" t="s">
        <v>147</v>
      </c>
      <c r="C19" s="175" t="s">
        <v>146</v>
      </c>
      <c r="D19" s="91"/>
      <c r="J19"/>
      <c r="K19"/>
      <c r="L19"/>
      <c r="M19"/>
    </row>
    <row r="20" spans="2:13" ht="18.75" customHeight="1" x14ac:dyDescent="0.25">
      <c r="B20" s="174" t="s">
        <v>200</v>
      </c>
      <c r="C20" s="175" t="s">
        <v>28</v>
      </c>
      <c r="D20" s="176">
        <f>D17-D18-D21</f>
        <v>-16067.04</v>
      </c>
      <c r="J20"/>
      <c r="K20"/>
      <c r="L20"/>
      <c r="M20"/>
    </row>
    <row r="21" spans="2:13" ht="18.75" customHeight="1" thickBot="1" x14ac:dyDescent="0.3">
      <c r="B21" s="174" t="s">
        <v>202</v>
      </c>
      <c r="C21" s="175" t="s">
        <v>28</v>
      </c>
      <c r="D21" s="165">
        <f>D17*D19</f>
        <v>0</v>
      </c>
      <c r="J21"/>
      <c r="K21"/>
      <c r="L21"/>
      <c r="M21"/>
    </row>
    <row r="22" spans="2:13" ht="18.75" customHeight="1" x14ac:dyDescent="0.25">
      <c r="B22" s="177" t="s">
        <v>66</v>
      </c>
      <c r="C22" s="178"/>
      <c r="D22" s="179"/>
      <c r="J22"/>
      <c r="K22"/>
      <c r="L22"/>
      <c r="M22"/>
    </row>
    <row r="23" spans="2:13" ht="18.75" customHeight="1" x14ac:dyDescent="0.25">
      <c r="B23" s="180" t="s">
        <v>67</v>
      </c>
      <c r="C23" s="181" t="s">
        <v>60</v>
      </c>
      <c r="D23" s="85"/>
      <c r="J23"/>
      <c r="K23"/>
      <c r="L23"/>
      <c r="M23"/>
    </row>
    <row r="24" spans="2:13" ht="18.75" customHeight="1" x14ac:dyDescent="0.25">
      <c r="B24" s="182" t="s">
        <v>137</v>
      </c>
      <c r="C24" s="183" t="s">
        <v>60</v>
      </c>
      <c r="D24" s="80"/>
      <c r="J24"/>
      <c r="K24"/>
      <c r="L24"/>
      <c r="M24"/>
    </row>
    <row r="25" spans="2:13" ht="18.75" customHeight="1" x14ac:dyDescent="0.25">
      <c r="B25" s="182" t="s">
        <v>138</v>
      </c>
      <c r="C25" s="183" t="s">
        <v>60</v>
      </c>
      <c r="D25" s="80"/>
      <c r="J25"/>
      <c r="K25"/>
      <c r="L25"/>
      <c r="M25"/>
    </row>
    <row r="26" spans="2:13" ht="18.75" customHeight="1" thickBot="1" x14ac:dyDescent="0.3">
      <c r="B26" s="184" t="s">
        <v>198</v>
      </c>
      <c r="C26" s="185" t="s">
        <v>60</v>
      </c>
      <c r="D26" s="186">
        <f>D10-D24</f>
        <v>52.43</v>
      </c>
      <c r="J26"/>
      <c r="K26"/>
      <c r="L26"/>
      <c r="M26"/>
    </row>
    <row r="27" spans="2:13" ht="18.75" customHeight="1" x14ac:dyDescent="0.25">
      <c r="B27" s="187" t="s">
        <v>29</v>
      </c>
      <c r="C27" s="188"/>
      <c r="D27" s="189"/>
      <c r="J27"/>
      <c r="K27"/>
      <c r="L27"/>
      <c r="M27"/>
    </row>
    <row r="28" spans="2:13" ht="18.75" customHeight="1" x14ac:dyDescent="0.25">
      <c r="B28" s="190" t="s">
        <v>216</v>
      </c>
      <c r="C28" s="191" t="s">
        <v>197</v>
      </c>
      <c r="D28" s="84"/>
      <c r="J28"/>
      <c r="K28"/>
      <c r="L28"/>
      <c r="M28"/>
    </row>
    <row r="29" spans="2:13" ht="18.75" customHeight="1" thickBot="1" x14ac:dyDescent="0.3">
      <c r="B29" s="192" t="s">
        <v>76</v>
      </c>
      <c r="C29" s="193" t="s">
        <v>61</v>
      </c>
      <c r="D29" s="194">
        <f>D16*D28</f>
        <v>0</v>
      </c>
      <c r="J29"/>
      <c r="K29"/>
      <c r="L29"/>
      <c r="M29"/>
    </row>
    <row r="30" spans="2:13" ht="18.75" customHeight="1" x14ac:dyDescent="0.25">
      <c r="B30" s="195" t="s">
        <v>199</v>
      </c>
      <c r="C30" s="196"/>
      <c r="D30" s="197"/>
      <c r="J30"/>
      <c r="K30"/>
      <c r="L30"/>
      <c r="M30"/>
    </row>
    <row r="31" spans="2:13" ht="18.75" customHeight="1" thickBot="1" x14ac:dyDescent="0.3">
      <c r="B31" s="198" t="s">
        <v>143</v>
      </c>
      <c r="C31" s="199" t="s">
        <v>27</v>
      </c>
      <c r="D31" s="83"/>
      <c r="J31"/>
      <c r="K31"/>
      <c r="L31"/>
      <c r="M31"/>
    </row>
    <row r="32" spans="2:13" ht="18.75" customHeight="1" x14ac:dyDescent="0.2">
      <c r="B32" s="200" t="s">
        <v>203</v>
      </c>
      <c r="C32" s="201"/>
      <c r="D32" s="202"/>
    </row>
    <row r="33" spans="2:6" ht="18.75" customHeight="1" x14ac:dyDescent="0.2">
      <c r="B33" s="203" t="s">
        <v>30</v>
      </c>
      <c r="C33" s="204" t="s">
        <v>61</v>
      </c>
      <c r="D33" s="165">
        <f>D13</f>
        <v>0</v>
      </c>
      <c r="E33" s="154"/>
    </row>
    <row r="34" spans="2:6" ht="18.75" customHeight="1" thickBot="1" x14ac:dyDescent="0.25">
      <c r="B34" s="205" t="s">
        <v>144</v>
      </c>
      <c r="C34" s="206" t="s">
        <v>61</v>
      </c>
      <c r="D34" s="194">
        <f>D10*D31</f>
        <v>0</v>
      </c>
    </row>
    <row r="35" spans="2:6" ht="18.75" customHeight="1" x14ac:dyDescent="0.2">
      <c r="B35" s="207" t="s">
        <v>204</v>
      </c>
      <c r="C35" s="208"/>
      <c r="D35" s="209"/>
    </row>
    <row r="36" spans="2:6" ht="18.75" customHeight="1" x14ac:dyDescent="0.2">
      <c r="B36" s="210" t="s">
        <v>205</v>
      </c>
      <c r="C36" s="211" t="s">
        <v>60</v>
      </c>
      <c r="D36" s="165">
        <f>D23*D11</f>
        <v>0</v>
      </c>
    </row>
    <row r="37" spans="2:6" ht="18.75" customHeight="1" x14ac:dyDescent="0.2">
      <c r="B37" s="210" t="s">
        <v>206</v>
      </c>
      <c r="C37" s="211" t="s">
        <v>146</v>
      </c>
      <c r="D37" s="212" t="e">
        <f>D24/D23</f>
        <v>#DIV/0!</v>
      </c>
    </row>
    <row r="38" spans="2:6" ht="18.75" customHeight="1" x14ac:dyDescent="0.2">
      <c r="B38" s="210" t="s">
        <v>70</v>
      </c>
      <c r="C38" s="211" t="s">
        <v>27</v>
      </c>
      <c r="D38" s="165">
        <f>D31</f>
        <v>0</v>
      </c>
    </row>
    <row r="39" spans="2:6" ht="18.75" customHeight="1" x14ac:dyDescent="0.2">
      <c r="B39" s="210" t="s">
        <v>207</v>
      </c>
      <c r="C39" s="211" t="s">
        <v>208</v>
      </c>
      <c r="D39" s="213">
        <f>J60</f>
        <v>10</v>
      </c>
    </row>
    <row r="40" spans="2:6" ht="18.75" customHeight="1" thickBot="1" x14ac:dyDescent="0.25">
      <c r="B40" s="214" t="s">
        <v>210</v>
      </c>
      <c r="C40" s="215" t="s">
        <v>28</v>
      </c>
      <c r="D40" s="194">
        <f>D20</f>
        <v>-16067.04</v>
      </c>
      <c r="F40" s="154"/>
    </row>
    <row r="41" spans="2:6" ht="14.1" customHeight="1" x14ac:dyDescent="0.2">
      <c r="F41" s="154"/>
    </row>
    <row r="42" spans="2:6" ht="14.1" customHeight="1" x14ac:dyDescent="0.2">
      <c r="B42" s="216"/>
      <c r="F42" s="154"/>
    </row>
    <row r="43" spans="2:6" ht="14.1" customHeight="1" x14ac:dyDescent="0.2">
      <c r="B43" s="216" t="s">
        <v>209</v>
      </c>
    </row>
    <row r="44" spans="2:6" ht="14.1" customHeight="1" x14ac:dyDescent="0.2">
      <c r="B44" s="27" t="s">
        <v>211</v>
      </c>
    </row>
    <row r="45" spans="2:6" ht="14.1" customHeight="1" x14ac:dyDescent="0.2">
      <c r="B45" s="27" t="s">
        <v>212</v>
      </c>
    </row>
    <row r="46" spans="2:6" ht="14.1" customHeight="1" x14ac:dyDescent="0.2">
      <c r="B46" s="27" t="s">
        <v>213</v>
      </c>
    </row>
    <row r="47" spans="2:6" ht="14.1" customHeight="1" x14ac:dyDescent="0.2">
      <c r="B47" s="27" t="s">
        <v>214</v>
      </c>
    </row>
    <row r="48" spans="2:6" ht="14.1" customHeight="1" x14ac:dyDescent="0.2"/>
    <row r="49" spans="1:25" ht="14.1" customHeight="1" x14ac:dyDescent="0.2"/>
    <row r="50" spans="1:25" ht="14.1" customHeight="1" x14ac:dyDescent="0.2"/>
    <row r="51" spans="1:25" ht="14.1" customHeight="1" x14ac:dyDescent="0.2">
      <c r="N51" s="10"/>
      <c r="O51" s="10"/>
      <c r="P51" s="10"/>
    </row>
    <row r="52" spans="1:25" ht="14.1" customHeight="1" x14ac:dyDescent="0.2">
      <c r="N52" s="10"/>
      <c r="O52" s="10"/>
      <c r="P52" s="10"/>
    </row>
    <row r="53" spans="1:25" ht="17.100000000000001" customHeight="1" thickBot="1" x14ac:dyDescent="0.25">
      <c r="B53" s="55"/>
      <c r="N53" s="10"/>
      <c r="O53" s="10"/>
      <c r="P53" s="10"/>
    </row>
    <row r="54" spans="1:25" ht="17.100000000000001" customHeight="1" x14ac:dyDescent="0.2">
      <c r="B54" s="217" t="s">
        <v>43</v>
      </c>
      <c r="C54" s="218"/>
      <c r="D54" s="218"/>
      <c r="E54" s="219" t="s">
        <v>217</v>
      </c>
      <c r="F54" s="219" t="s">
        <v>201</v>
      </c>
      <c r="G54" s="220" t="s">
        <v>24</v>
      </c>
      <c r="N54" s="221"/>
      <c r="O54" s="221"/>
      <c r="P54" s="10"/>
      <c r="Y54" s="222"/>
    </row>
    <row r="55" spans="1:25" ht="17.100000000000001" customHeight="1" x14ac:dyDescent="0.25">
      <c r="A55"/>
      <c r="B55" s="223" t="s">
        <v>78</v>
      </c>
      <c r="C55" s="224"/>
      <c r="D55" s="225" t="s">
        <v>61</v>
      </c>
      <c r="E55" s="92">
        <f>D24*D12+D25*D14-D29</f>
        <v>0</v>
      </c>
      <c r="F55" s="92">
        <f>D33-D34</f>
        <v>0</v>
      </c>
      <c r="G55" s="56">
        <f>D31*D10-(D26*D12-D25*D14)-D16*D28</f>
        <v>0</v>
      </c>
      <c r="H55" s="154"/>
      <c r="N55" s="221"/>
      <c r="O55" s="221"/>
      <c r="P55" s="10"/>
      <c r="Y55" s="222"/>
    </row>
    <row r="56" spans="1:25" ht="14.1" customHeight="1" x14ac:dyDescent="0.25">
      <c r="A56"/>
      <c r="B56" s="226" t="s">
        <v>44</v>
      </c>
      <c r="C56" s="227"/>
      <c r="D56" s="225" t="s">
        <v>28</v>
      </c>
      <c r="E56" s="92">
        <f>D78</f>
        <v>0</v>
      </c>
      <c r="F56" s="92" t="e">
        <f>F55/E55*E56</f>
        <v>#DIV/0!</v>
      </c>
      <c r="G56" s="56" t="e">
        <f>G55/E55*E56</f>
        <v>#DIV/0!</v>
      </c>
      <c r="H56" s="154"/>
      <c r="N56" s="221"/>
      <c r="O56" s="221"/>
      <c r="P56" s="10"/>
      <c r="Y56" s="222"/>
    </row>
    <row r="57" spans="1:25" ht="17.100000000000001" customHeight="1" x14ac:dyDescent="0.25">
      <c r="A57"/>
      <c r="B57" s="226" t="s">
        <v>45</v>
      </c>
      <c r="C57" s="227"/>
      <c r="D57" s="225" t="s">
        <v>28</v>
      </c>
      <c r="E57" s="92">
        <f>M91</f>
        <v>0</v>
      </c>
      <c r="F57" s="92" t="e">
        <f>F55/E55*E57</f>
        <v>#DIV/0!</v>
      </c>
      <c r="G57" s="56" t="e">
        <f>G55/E55*E57</f>
        <v>#DIV/0!</v>
      </c>
      <c r="H57" s="154"/>
      <c r="N57" s="221"/>
      <c r="O57" s="221"/>
      <c r="P57" s="10"/>
      <c r="Y57" s="222"/>
    </row>
    <row r="58" spans="1:25" ht="17.100000000000001" customHeight="1" thickBot="1" x14ac:dyDescent="0.3">
      <c r="A58"/>
      <c r="B58" s="228" t="s">
        <v>80</v>
      </c>
      <c r="C58" s="229"/>
      <c r="D58" s="230" t="s">
        <v>28</v>
      </c>
      <c r="E58" s="93">
        <f>D17-D18</f>
        <v>-16067.04</v>
      </c>
      <c r="F58" s="93">
        <f>D20</f>
        <v>-16067.04</v>
      </c>
      <c r="G58" s="94">
        <f>D21</f>
        <v>0</v>
      </c>
      <c r="H58" s="154"/>
      <c r="N58" s="221"/>
      <c r="O58" s="221"/>
      <c r="P58" s="10"/>
      <c r="Y58" s="222"/>
    </row>
    <row r="59" spans="1:25" ht="30.75" thickBot="1" x14ac:dyDescent="0.3">
      <c r="A59"/>
      <c r="B59"/>
      <c r="C59"/>
      <c r="D59"/>
      <c r="E59"/>
      <c r="J59" s="231" t="s">
        <v>41</v>
      </c>
      <c r="K59" s="24" t="s">
        <v>42</v>
      </c>
      <c r="L59" s="25"/>
      <c r="M59" s="26"/>
      <c r="N59" s="221"/>
      <c r="O59" s="221"/>
      <c r="P59" s="10"/>
      <c r="Y59" s="222"/>
    </row>
    <row r="60" spans="1:25" ht="17.100000000000001" customHeight="1" thickBot="1" x14ac:dyDescent="0.3">
      <c r="A60"/>
      <c r="B60" s="55" t="s">
        <v>34</v>
      </c>
      <c r="E60"/>
      <c r="J60" s="54">
        <f>'IS01'!J60</f>
        <v>10</v>
      </c>
      <c r="K60" s="21" t="s">
        <v>36</v>
      </c>
      <c r="L60" s="22" t="s">
        <v>37</v>
      </c>
      <c r="M60" s="23" t="s">
        <v>38</v>
      </c>
      <c r="N60" s="10"/>
      <c r="O60" s="10"/>
      <c r="P60" s="10"/>
      <c r="Y60" s="216"/>
    </row>
    <row r="61" spans="1:25" ht="15.75" customHeight="1" x14ac:dyDescent="0.25">
      <c r="A61"/>
      <c r="B61" s="13" t="s">
        <v>35</v>
      </c>
      <c r="C61" s="14"/>
      <c r="D61" s="15"/>
      <c r="E61"/>
      <c r="K61" s="232">
        <f>IF($J$60&gt;0, 1, "")</f>
        <v>1</v>
      </c>
      <c r="L61" s="233">
        <f t="shared" ref="L61:L90" si="0">IF($J$60&gt;=K61,$E$55, "")</f>
        <v>0</v>
      </c>
      <c r="M61" s="57">
        <f t="shared" ref="M61:M90" si="1">IF($J$60&gt;=K61,L61/((1+$M$93)^K61), "0")</f>
        <v>0</v>
      </c>
      <c r="N61" s="10"/>
      <c r="O61" s="10"/>
      <c r="P61" s="10"/>
      <c r="Y61" s="216"/>
    </row>
    <row r="62" spans="1:25" ht="15.75" customHeight="1" x14ac:dyDescent="0.25">
      <c r="A62"/>
      <c r="B62" s="2" t="s">
        <v>36</v>
      </c>
      <c r="C62" s="3" t="s">
        <v>37</v>
      </c>
      <c r="D62" s="4" t="s">
        <v>38</v>
      </c>
      <c r="E62"/>
      <c r="K62" s="234">
        <f>IF($J$60&gt;K61, 2, "")</f>
        <v>2</v>
      </c>
      <c r="L62" s="235">
        <f t="shared" si="0"/>
        <v>0</v>
      </c>
      <c r="M62" s="58">
        <f t="shared" si="1"/>
        <v>0</v>
      </c>
      <c r="N62" s="10"/>
      <c r="O62" s="10"/>
      <c r="P62" s="10"/>
      <c r="Y62" s="216"/>
    </row>
    <row r="63" spans="1:25" ht="15.75" customHeight="1" x14ac:dyDescent="0.25">
      <c r="A63"/>
      <c r="B63" s="31">
        <v>1</v>
      </c>
      <c r="C63" s="47">
        <f t="shared" ref="C63:C77" si="2">$E$55</f>
        <v>0</v>
      </c>
      <c r="D63" s="48">
        <f t="shared" ref="D63:D77" si="3">C63/((1+$D$80)^B63)</f>
        <v>0</v>
      </c>
      <c r="E63" s="162"/>
      <c r="K63" s="234">
        <f>IF($J$60&gt;K62,3, "")</f>
        <v>3</v>
      </c>
      <c r="L63" s="235">
        <f t="shared" si="0"/>
        <v>0</v>
      </c>
      <c r="M63" s="58">
        <f t="shared" si="1"/>
        <v>0</v>
      </c>
      <c r="N63" s="236"/>
      <c r="O63" s="236"/>
      <c r="P63" s="10"/>
      <c r="Y63" s="237"/>
    </row>
    <row r="64" spans="1:25" ht="15.75" customHeight="1" x14ac:dyDescent="0.2">
      <c r="B64" s="31">
        <v>2</v>
      </c>
      <c r="C64" s="47">
        <f t="shared" si="2"/>
        <v>0</v>
      </c>
      <c r="D64" s="48">
        <f t="shared" si="3"/>
        <v>0</v>
      </c>
      <c r="E64" s="247"/>
      <c r="K64" s="234">
        <f>IF($J$60&gt;K63, 4, "")</f>
        <v>4</v>
      </c>
      <c r="L64" s="235">
        <f t="shared" si="0"/>
        <v>0</v>
      </c>
      <c r="M64" s="58">
        <f t="shared" si="1"/>
        <v>0</v>
      </c>
      <c r="N64" s="10"/>
      <c r="O64" s="10"/>
      <c r="P64" s="10"/>
    </row>
    <row r="65" spans="2:19" ht="15.75" customHeight="1" x14ac:dyDescent="0.2">
      <c r="B65" s="31">
        <v>3</v>
      </c>
      <c r="C65" s="47">
        <f t="shared" si="2"/>
        <v>0</v>
      </c>
      <c r="D65" s="48">
        <f t="shared" si="3"/>
        <v>0</v>
      </c>
      <c r="E65" s="247"/>
      <c r="K65" s="234">
        <f>IF($J$60&gt;K64, 5, "")</f>
        <v>5</v>
      </c>
      <c r="L65" s="235">
        <f t="shared" si="0"/>
        <v>0</v>
      </c>
      <c r="M65" s="58">
        <f t="shared" si="1"/>
        <v>0</v>
      </c>
      <c r="N65" s="351"/>
      <c r="O65" s="351"/>
      <c r="P65" s="351"/>
    </row>
    <row r="66" spans="2:19" ht="15.75" customHeight="1" x14ac:dyDescent="0.2">
      <c r="B66" s="31">
        <v>4</v>
      </c>
      <c r="C66" s="47">
        <f t="shared" si="2"/>
        <v>0</v>
      </c>
      <c r="D66" s="48">
        <f t="shared" si="3"/>
        <v>0</v>
      </c>
      <c r="E66" s="247"/>
      <c r="G66" s="59"/>
      <c r="K66" s="234">
        <f>IF($J$60&gt;K65, 6, "")</f>
        <v>6</v>
      </c>
      <c r="L66" s="235">
        <f t="shared" si="0"/>
        <v>0</v>
      </c>
      <c r="M66" s="58">
        <f t="shared" si="1"/>
        <v>0</v>
      </c>
      <c r="N66" s="10"/>
      <c r="O66" s="10"/>
      <c r="P66" s="10"/>
    </row>
    <row r="67" spans="2:19" ht="15.75" customHeight="1" x14ac:dyDescent="0.2">
      <c r="B67" s="31">
        <v>5</v>
      </c>
      <c r="C67" s="47">
        <f t="shared" si="2"/>
        <v>0</v>
      </c>
      <c r="D67" s="48">
        <f t="shared" si="3"/>
        <v>0</v>
      </c>
      <c r="E67" s="247"/>
      <c r="I67" s="10"/>
      <c r="K67" s="234">
        <f>IF($J$60&gt;K66, 7, "")</f>
        <v>7</v>
      </c>
      <c r="L67" s="235">
        <f t="shared" si="0"/>
        <v>0</v>
      </c>
      <c r="M67" s="58">
        <f t="shared" si="1"/>
        <v>0</v>
      </c>
      <c r="N67" s="10"/>
      <c r="O67" s="10"/>
      <c r="P67" s="10"/>
    </row>
    <row r="68" spans="2:19" ht="15.75" customHeight="1" x14ac:dyDescent="0.2">
      <c r="B68" s="31">
        <v>6</v>
      </c>
      <c r="C68" s="47">
        <f t="shared" si="2"/>
        <v>0</v>
      </c>
      <c r="D68" s="48">
        <f t="shared" si="3"/>
        <v>0</v>
      </c>
      <c r="E68" s="247"/>
      <c r="I68" s="10"/>
      <c r="K68" s="234">
        <f>IF($J$60&gt;K67, 8, "")</f>
        <v>8</v>
      </c>
      <c r="L68" s="235">
        <f t="shared" si="0"/>
        <v>0</v>
      </c>
      <c r="M68" s="58">
        <f t="shared" si="1"/>
        <v>0</v>
      </c>
      <c r="N68" s="10"/>
      <c r="O68" s="10"/>
      <c r="P68" s="10"/>
      <c r="Q68" s="10"/>
      <c r="R68" s="10"/>
      <c r="S68" s="10"/>
    </row>
    <row r="69" spans="2:19" ht="15.75" customHeight="1" x14ac:dyDescent="0.2">
      <c r="B69" s="31">
        <v>7</v>
      </c>
      <c r="C69" s="47">
        <f t="shared" si="2"/>
        <v>0</v>
      </c>
      <c r="D69" s="48">
        <f t="shared" si="3"/>
        <v>0</v>
      </c>
      <c r="E69" s="247"/>
      <c r="K69" s="234">
        <f>IF($J$60&gt;K68, 9, "")</f>
        <v>9</v>
      </c>
      <c r="L69" s="235">
        <f t="shared" si="0"/>
        <v>0</v>
      </c>
      <c r="M69" s="58">
        <f t="shared" si="1"/>
        <v>0</v>
      </c>
      <c r="N69" s="10"/>
      <c r="O69" s="10"/>
      <c r="P69" s="10"/>
      <c r="Q69" s="10"/>
      <c r="R69" s="10"/>
      <c r="S69" s="10"/>
    </row>
    <row r="70" spans="2:19" ht="15.75" customHeight="1" x14ac:dyDescent="0.2">
      <c r="B70" s="31">
        <v>8</v>
      </c>
      <c r="C70" s="47">
        <f t="shared" si="2"/>
        <v>0</v>
      </c>
      <c r="D70" s="48">
        <f t="shared" si="3"/>
        <v>0</v>
      </c>
      <c r="E70" s="247"/>
      <c r="K70" s="234">
        <f>IF($J$60&gt;K69, 10, "")</f>
        <v>10</v>
      </c>
      <c r="L70" s="235">
        <f t="shared" si="0"/>
        <v>0</v>
      </c>
      <c r="M70" s="58">
        <f t="shared" si="1"/>
        <v>0</v>
      </c>
      <c r="N70" s="10"/>
      <c r="O70" s="10"/>
      <c r="P70" s="10"/>
    </row>
    <row r="71" spans="2:19" ht="15.75" customHeight="1" x14ac:dyDescent="0.2">
      <c r="B71" s="31">
        <v>9</v>
      </c>
      <c r="C71" s="47">
        <f t="shared" si="2"/>
        <v>0</v>
      </c>
      <c r="D71" s="48">
        <f t="shared" si="3"/>
        <v>0</v>
      </c>
      <c r="E71" s="247"/>
      <c r="K71" s="234" t="str">
        <f>IF($J$60&gt;K70, 11, "")</f>
        <v/>
      </c>
      <c r="L71" s="235" t="str">
        <f t="shared" si="0"/>
        <v/>
      </c>
      <c r="M71" s="58" t="str">
        <f t="shared" si="1"/>
        <v>0</v>
      </c>
      <c r="N71" s="10"/>
      <c r="O71" s="10"/>
      <c r="P71" s="10"/>
    </row>
    <row r="72" spans="2:19" ht="15.75" customHeight="1" x14ac:dyDescent="0.2">
      <c r="B72" s="31">
        <v>10</v>
      </c>
      <c r="C72" s="47">
        <f t="shared" si="2"/>
        <v>0</v>
      </c>
      <c r="D72" s="48">
        <f t="shared" si="3"/>
        <v>0</v>
      </c>
      <c r="E72" s="247"/>
      <c r="K72" s="234" t="str">
        <f>IF($J$60&gt;K71, 12, "")</f>
        <v/>
      </c>
      <c r="L72" s="235" t="str">
        <f t="shared" si="0"/>
        <v/>
      </c>
      <c r="M72" s="58" t="str">
        <f t="shared" si="1"/>
        <v>0</v>
      </c>
      <c r="N72" s="10"/>
      <c r="O72" s="10"/>
      <c r="P72" s="10"/>
    </row>
    <row r="73" spans="2:19" ht="15.75" customHeight="1" x14ac:dyDescent="0.2">
      <c r="B73" s="31">
        <v>11</v>
      </c>
      <c r="C73" s="47">
        <f t="shared" si="2"/>
        <v>0</v>
      </c>
      <c r="D73" s="48">
        <f t="shared" si="3"/>
        <v>0</v>
      </c>
      <c r="E73" s="247"/>
      <c r="K73" s="234" t="str">
        <f>IF($J$60&gt;K72, 13, "")</f>
        <v/>
      </c>
      <c r="L73" s="235" t="str">
        <f t="shared" si="0"/>
        <v/>
      </c>
      <c r="M73" s="58" t="str">
        <f t="shared" si="1"/>
        <v>0</v>
      </c>
      <c r="N73" s="10"/>
      <c r="O73" s="10"/>
      <c r="P73" s="10"/>
    </row>
    <row r="74" spans="2:19" ht="15.75" customHeight="1" x14ac:dyDescent="0.2">
      <c r="B74" s="31">
        <v>12</v>
      </c>
      <c r="C74" s="47">
        <f t="shared" si="2"/>
        <v>0</v>
      </c>
      <c r="D74" s="48">
        <f t="shared" si="3"/>
        <v>0</v>
      </c>
      <c r="E74" s="247"/>
      <c r="K74" s="234" t="str">
        <f>IF($J$60&gt;K73, 14, "")</f>
        <v/>
      </c>
      <c r="L74" s="235" t="str">
        <f t="shared" si="0"/>
        <v/>
      </c>
      <c r="M74" s="58" t="str">
        <f t="shared" si="1"/>
        <v>0</v>
      </c>
      <c r="N74" s="10"/>
      <c r="O74" s="10"/>
      <c r="P74" s="10"/>
    </row>
    <row r="75" spans="2:19" ht="15.75" customHeight="1" x14ac:dyDescent="0.2">
      <c r="B75" s="31">
        <v>13</v>
      </c>
      <c r="C75" s="47">
        <f t="shared" si="2"/>
        <v>0</v>
      </c>
      <c r="D75" s="48">
        <f t="shared" si="3"/>
        <v>0</v>
      </c>
      <c r="E75" s="247"/>
      <c r="K75" s="234" t="str">
        <f>IF($J$60&gt;K74, 15, "")</f>
        <v/>
      </c>
      <c r="L75" s="235" t="str">
        <f t="shared" si="0"/>
        <v/>
      </c>
      <c r="M75" s="58" t="str">
        <f t="shared" si="1"/>
        <v>0</v>
      </c>
      <c r="N75" s="10"/>
      <c r="O75" s="10"/>
      <c r="P75" s="10"/>
    </row>
    <row r="76" spans="2:19" ht="15.75" customHeight="1" x14ac:dyDescent="0.25">
      <c r="B76" s="31">
        <v>14</v>
      </c>
      <c r="C76" s="47">
        <f t="shared" si="2"/>
        <v>0</v>
      </c>
      <c r="D76" s="48">
        <f t="shared" si="3"/>
        <v>0</v>
      </c>
      <c r="E76" s="247"/>
      <c r="G76"/>
      <c r="K76" s="234" t="str">
        <f>IF($J$60&gt;K75, 16, "")</f>
        <v/>
      </c>
      <c r="L76" s="235" t="str">
        <f t="shared" si="0"/>
        <v/>
      </c>
      <c r="M76" s="58" t="str">
        <f t="shared" si="1"/>
        <v>0</v>
      </c>
      <c r="N76" s="10"/>
      <c r="O76" s="10"/>
      <c r="P76" s="10"/>
    </row>
    <row r="77" spans="2:19" ht="15.75" customHeight="1" x14ac:dyDescent="0.25">
      <c r="B77" s="31">
        <v>15</v>
      </c>
      <c r="C77" s="47">
        <f t="shared" si="2"/>
        <v>0</v>
      </c>
      <c r="D77" s="48">
        <f t="shared" si="3"/>
        <v>0</v>
      </c>
      <c r="E77" s="247"/>
      <c r="G77"/>
      <c r="K77" s="234" t="str">
        <f>IF($J$60&gt;K76, 17, "")</f>
        <v/>
      </c>
      <c r="L77" s="235" t="str">
        <f t="shared" si="0"/>
        <v/>
      </c>
      <c r="M77" s="58" t="str">
        <f t="shared" si="1"/>
        <v>0</v>
      </c>
      <c r="N77" s="10"/>
      <c r="O77" s="10"/>
      <c r="P77" s="10"/>
    </row>
    <row r="78" spans="2:19" ht="15.75" customHeight="1" thickBot="1" x14ac:dyDescent="0.3">
      <c r="B78" s="12" t="s">
        <v>39</v>
      </c>
      <c r="C78" s="51">
        <f>SUM(C63:C77)</f>
        <v>0</v>
      </c>
      <c r="D78" s="52">
        <f>SUM(D63:D77)</f>
        <v>0</v>
      </c>
      <c r="E78" s="162"/>
      <c r="F78" s="238"/>
      <c r="G78" s="238"/>
      <c r="K78" s="234" t="str">
        <f>IF($J$60&gt;K77, 18, "")</f>
        <v/>
      </c>
      <c r="L78" s="235" t="str">
        <f t="shared" si="0"/>
        <v/>
      </c>
      <c r="M78" s="58" t="str">
        <f t="shared" si="1"/>
        <v>0</v>
      </c>
      <c r="N78" s="10"/>
      <c r="O78" s="10"/>
      <c r="P78" s="10"/>
    </row>
    <row r="79" spans="2:19" ht="15.75" customHeight="1" x14ac:dyDescent="0.25">
      <c r="B79" s="239"/>
      <c r="C79" s="240"/>
      <c r="D79" s="241"/>
      <c r="E79"/>
      <c r="F79"/>
      <c r="G79"/>
      <c r="K79" s="234" t="str">
        <f>IF($J$60&gt;K78, 19, "")</f>
        <v/>
      </c>
      <c r="L79" s="235" t="str">
        <f t="shared" si="0"/>
        <v/>
      </c>
      <c r="M79" s="58" t="str">
        <f t="shared" si="1"/>
        <v>0</v>
      </c>
      <c r="N79" s="10"/>
      <c r="O79" s="10"/>
      <c r="P79" s="10"/>
    </row>
    <row r="80" spans="2:19" ht="15.75" customHeight="1" thickBot="1" x14ac:dyDescent="0.3">
      <c r="B80" s="242" t="s">
        <v>40</v>
      </c>
      <c r="C80" s="243"/>
      <c r="D80" s="60">
        <v>0.04</v>
      </c>
      <c r="E80"/>
      <c r="F80"/>
      <c r="G80" s="238"/>
      <c r="K80" s="234" t="str">
        <f>IF($J$60&gt;K79, 20, "")</f>
        <v/>
      </c>
      <c r="L80" s="235" t="str">
        <f t="shared" si="0"/>
        <v/>
      </c>
      <c r="M80" s="58" t="str">
        <f t="shared" si="1"/>
        <v>0</v>
      </c>
      <c r="N80" s="10"/>
      <c r="O80" s="10"/>
      <c r="P80" s="10"/>
      <c r="Q80" s="10"/>
      <c r="R80" s="10"/>
      <c r="S80" s="10"/>
    </row>
    <row r="81" spans="1:19" ht="15.75" customHeight="1" x14ac:dyDescent="0.25">
      <c r="B81"/>
      <c r="C81"/>
      <c r="D81"/>
      <c r="E81"/>
      <c r="F81"/>
      <c r="G81"/>
      <c r="K81" s="234" t="str">
        <f>IF($J$60&gt;K80, 21, "")</f>
        <v/>
      </c>
      <c r="L81" s="235" t="str">
        <f t="shared" si="0"/>
        <v/>
      </c>
      <c r="M81" s="58" t="str">
        <f t="shared" si="1"/>
        <v>0</v>
      </c>
      <c r="N81" s="10"/>
      <c r="O81" s="10"/>
      <c r="P81" s="10"/>
      <c r="Q81" s="10"/>
      <c r="R81" s="10"/>
      <c r="S81" s="10"/>
    </row>
    <row r="82" spans="1:19" ht="15.75" customHeight="1" x14ac:dyDescent="0.25">
      <c r="B82"/>
      <c r="C82"/>
      <c r="D82"/>
      <c r="E82"/>
      <c r="F82"/>
      <c r="G82"/>
      <c r="K82" s="234" t="str">
        <f>IF($J$60&gt;K81, 22, "")</f>
        <v/>
      </c>
      <c r="L82" s="235" t="str">
        <f t="shared" si="0"/>
        <v/>
      </c>
      <c r="M82" s="58" t="str">
        <f t="shared" si="1"/>
        <v>0</v>
      </c>
      <c r="N82" s="10"/>
      <c r="O82" s="10"/>
      <c r="P82" s="10"/>
    </row>
    <row r="83" spans="1:19" ht="15.75" customHeight="1" x14ac:dyDescent="0.25">
      <c r="B83"/>
      <c r="C83"/>
      <c r="D83"/>
      <c r="E83"/>
      <c r="F83"/>
      <c r="G83"/>
      <c r="K83" s="234" t="str">
        <f>IF($J$60&gt;K82, 23, "")</f>
        <v/>
      </c>
      <c r="L83" s="235" t="str">
        <f t="shared" si="0"/>
        <v/>
      </c>
      <c r="M83" s="58" t="str">
        <f t="shared" si="1"/>
        <v>0</v>
      </c>
      <c r="N83" s="351"/>
      <c r="O83" s="351"/>
      <c r="P83" s="10"/>
    </row>
    <row r="84" spans="1:19" ht="15.75" customHeight="1" x14ac:dyDescent="0.25">
      <c r="B84"/>
      <c r="C84"/>
      <c r="D84"/>
      <c r="E84"/>
      <c r="F84"/>
      <c r="G84"/>
      <c r="K84" s="234" t="str">
        <f>IF($J$60&gt;K83, 24, "")</f>
        <v/>
      </c>
      <c r="L84" s="235" t="str">
        <f t="shared" si="0"/>
        <v/>
      </c>
      <c r="M84" s="58" t="str">
        <f t="shared" si="1"/>
        <v>0</v>
      </c>
      <c r="N84" s="351"/>
      <c r="O84" s="351"/>
      <c r="P84" s="351"/>
    </row>
    <row r="85" spans="1:19" ht="15.75" customHeight="1" x14ac:dyDescent="0.25">
      <c r="B85"/>
      <c r="C85"/>
      <c r="D85"/>
      <c r="E85"/>
      <c r="F85"/>
      <c r="G85"/>
      <c r="K85" s="234" t="str">
        <f>IF($J$60&gt;K84, 25, "")</f>
        <v/>
      </c>
      <c r="L85" s="235" t="str">
        <f t="shared" si="0"/>
        <v/>
      </c>
      <c r="M85" s="58" t="str">
        <f t="shared" si="1"/>
        <v>0</v>
      </c>
      <c r="N85" s="10"/>
      <c r="O85" s="10"/>
      <c r="P85" s="10"/>
    </row>
    <row r="86" spans="1:19" ht="15.75" customHeight="1" x14ac:dyDescent="0.25">
      <c r="B86"/>
      <c r="C86"/>
      <c r="D86"/>
      <c r="E86"/>
      <c r="F86"/>
      <c r="G86"/>
      <c r="K86" s="234" t="str">
        <f>IF($J$60&gt;K85, 26, "")</f>
        <v/>
      </c>
      <c r="L86" s="235" t="str">
        <f>IF($J$60&gt;=K86,$E$55, "")</f>
        <v/>
      </c>
      <c r="M86" s="58" t="str">
        <f t="shared" si="1"/>
        <v>0</v>
      </c>
      <c r="N86" s="10"/>
      <c r="O86" s="10"/>
      <c r="P86" s="10"/>
    </row>
    <row r="87" spans="1:19" ht="15.75" customHeight="1" x14ac:dyDescent="0.25">
      <c r="A87"/>
      <c r="B87"/>
      <c r="C87"/>
      <c r="D87"/>
      <c r="E87"/>
      <c r="F87"/>
      <c r="G87"/>
      <c r="K87" s="234" t="str">
        <f>IF($J$60&gt;K86, 27, "")</f>
        <v/>
      </c>
      <c r="L87" s="235" t="str">
        <f t="shared" si="0"/>
        <v/>
      </c>
      <c r="M87" s="58" t="str">
        <f t="shared" si="1"/>
        <v>0</v>
      </c>
    </row>
    <row r="88" spans="1:19" ht="15.75" customHeight="1" x14ac:dyDescent="0.25">
      <c r="A88"/>
      <c r="B88"/>
      <c r="C88"/>
      <c r="D88"/>
      <c r="E88"/>
      <c r="F88"/>
      <c r="K88" s="234" t="str">
        <f>IF($J$60&gt;K87, 28, "")</f>
        <v/>
      </c>
      <c r="L88" s="235" t="str">
        <f t="shared" si="0"/>
        <v/>
      </c>
      <c r="M88" s="58" t="str">
        <f t="shared" si="1"/>
        <v>0</v>
      </c>
    </row>
    <row r="89" spans="1:19" ht="15.75" customHeight="1" x14ac:dyDescent="0.25">
      <c r="A89"/>
      <c r="B89"/>
      <c r="C89"/>
      <c r="D89"/>
      <c r="E89"/>
      <c r="F89"/>
      <c r="K89" s="234" t="str">
        <f>IF($J$60&gt;K88, 29, "")</f>
        <v/>
      </c>
      <c r="L89" s="235" t="str">
        <f t="shared" si="0"/>
        <v/>
      </c>
      <c r="M89" s="58" t="str">
        <f t="shared" si="1"/>
        <v>0</v>
      </c>
    </row>
    <row r="90" spans="1:19" ht="15.75" customHeight="1" x14ac:dyDescent="0.25">
      <c r="A90"/>
      <c r="B90"/>
      <c r="C90"/>
      <c r="D90"/>
      <c r="E90"/>
      <c r="F90"/>
      <c r="K90" s="234" t="str">
        <f>IF($J$60&gt;K89, 30, "")</f>
        <v/>
      </c>
      <c r="L90" s="235" t="str">
        <f t="shared" si="0"/>
        <v/>
      </c>
      <c r="M90" s="58" t="str">
        <f t="shared" si="1"/>
        <v>0</v>
      </c>
    </row>
    <row r="91" spans="1:19" ht="15.75" customHeight="1" x14ac:dyDescent="0.25">
      <c r="A91"/>
      <c r="B91"/>
      <c r="C91"/>
      <c r="D91"/>
      <c r="E91"/>
      <c r="F91"/>
      <c r="K91" s="2" t="s">
        <v>39</v>
      </c>
      <c r="L91" s="49">
        <f>SUM(L61:L90)</f>
        <v>0</v>
      </c>
      <c r="M91" s="50">
        <f>SUM(M61:M80)</f>
        <v>0</v>
      </c>
    </row>
    <row r="92" spans="1:19" ht="15.75" customHeight="1" x14ac:dyDescent="0.25">
      <c r="A92"/>
      <c r="B92"/>
      <c r="C92"/>
      <c r="D92"/>
      <c r="E92"/>
      <c r="F92"/>
      <c r="K92" s="245"/>
      <c r="L92" s="246"/>
      <c r="M92" s="28"/>
    </row>
    <row r="93" spans="1:19" ht="15.75" customHeight="1" thickBot="1" x14ac:dyDescent="0.3">
      <c r="A93"/>
      <c r="B93"/>
      <c r="C93"/>
      <c r="D93"/>
      <c r="E93"/>
      <c r="F93"/>
      <c r="K93" s="242" t="s">
        <v>40</v>
      </c>
      <c r="L93" s="243"/>
      <c r="M93" s="60">
        <v>0.04</v>
      </c>
    </row>
    <row r="94" spans="1:19" ht="15" x14ac:dyDescent="0.25">
      <c r="A94"/>
      <c r="B94"/>
      <c r="C94"/>
      <c r="D94"/>
      <c r="E94"/>
      <c r="F94"/>
    </row>
    <row r="95" spans="1:19" ht="14.1" customHeight="1" x14ac:dyDescent="0.2"/>
    <row r="96" spans="1:19" ht="14.1" customHeight="1" x14ac:dyDescent="0.2"/>
    <row r="97" s="27" customFormat="1" ht="14.1" customHeight="1" x14ac:dyDescent="0.2"/>
    <row r="98" s="27" customFormat="1" ht="14.1" customHeight="1" x14ac:dyDescent="0.2"/>
    <row r="99" s="27" customFormat="1" ht="14.1" customHeight="1" x14ac:dyDescent="0.2"/>
    <row r="100" s="27" customFormat="1" ht="14.1" customHeight="1" x14ac:dyDescent="0.2"/>
    <row r="101" s="27" customFormat="1" ht="14.1" customHeight="1" x14ac:dyDescent="0.2"/>
    <row r="102" s="27" customFormat="1" ht="14.1" customHeight="1" x14ac:dyDescent="0.2"/>
    <row r="103" s="27" customFormat="1" ht="14.1" customHeight="1" x14ac:dyDescent="0.2"/>
    <row r="104" s="27" customFormat="1" ht="14.1" customHeight="1" x14ac:dyDescent="0.2"/>
    <row r="105" s="27" customFormat="1" ht="14.1" customHeight="1" x14ac:dyDescent="0.2"/>
    <row r="106" s="27" customFormat="1" ht="14.1" customHeight="1" x14ac:dyDescent="0.2"/>
    <row r="107" s="27" customFormat="1" ht="14.1" customHeight="1" x14ac:dyDescent="0.2"/>
    <row r="108" s="27" customFormat="1" ht="14.1" customHeight="1" x14ac:dyDescent="0.2"/>
    <row r="109" s="27" customFormat="1" ht="14.1" customHeight="1" x14ac:dyDescent="0.2"/>
    <row r="110" s="27" customFormat="1" ht="14.1" customHeight="1" x14ac:dyDescent="0.2"/>
    <row r="111" s="27" customFormat="1" ht="14.1" customHeight="1" x14ac:dyDescent="0.2"/>
    <row r="112" s="27" customFormat="1" ht="14.1" customHeight="1" x14ac:dyDescent="0.2"/>
    <row r="113" s="27" customFormat="1" ht="14.1" customHeight="1" x14ac:dyDescent="0.2"/>
    <row r="114" s="27" customFormat="1" ht="14.1" customHeight="1" x14ac:dyDescent="0.2"/>
    <row r="115" s="27" customFormat="1" ht="14.1" customHeight="1" x14ac:dyDescent="0.2"/>
    <row r="116" s="27" customFormat="1" ht="14.1" customHeight="1" x14ac:dyDescent="0.2"/>
    <row r="117" s="27" customFormat="1" ht="14.1" customHeight="1" x14ac:dyDescent="0.2"/>
    <row r="118" s="27" customFormat="1" ht="14.1" customHeight="1" x14ac:dyDescent="0.2"/>
    <row r="119" s="27" customFormat="1" ht="14.1" customHeight="1" x14ac:dyDescent="0.2"/>
    <row r="120" s="27" customFormat="1" ht="14.1" customHeight="1" x14ac:dyDescent="0.2"/>
    <row r="121" s="27" customFormat="1" ht="14.1" customHeight="1" x14ac:dyDescent="0.2"/>
    <row r="122" s="27" customFormat="1" ht="14.1" customHeight="1" x14ac:dyDescent="0.2"/>
    <row r="123" s="27" customFormat="1" ht="14.1" customHeight="1" x14ac:dyDescent="0.2"/>
    <row r="124" s="27" customFormat="1" ht="14.1" customHeight="1" x14ac:dyDescent="0.2"/>
    <row r="125" s="27" customFormat="1" ht="14.1" customHeight="1" x14ac:dyDescent="0.2"/>
    <row r="126" s="27" customFormat="1" ht="14.1" customHeight="1" x14ac:dyDescent="0.2"/>
    <row r="127" s="27" customFormat="1" ht="14.1" customHeight="1" x14ac:dyDescent="0.2"/>
    <row r="128" s="27" customFormat="1" ht="14.1" customHeight="1" x14ac:dyDescent="0.2"/>
    <row r="129" s="27" customFormat="1" ht="14.1" customHeight="1" x14ac:dyDescent="0.2"/>
    <row r="130" s="27" customFormat="1" ht="14.1" customHeight="1" x14ac:dyDescent="0.2"/>
    <row r="131" s="27" customFormat="1" ht="14.1" customHeight="1" x14ac:dyDescent="0.2"/>
    <row r="132" s="27" customFormat="1" ht="14.1" customHeight="1" x14ac:dyDescent="0.2"/>
    <row r="133" s="27" customFormat="1" ht="14.1" customHeight="1" x14ac:dyDescent="0.2"/>
    <row r="134" s="27" customFormat="1" ht="14.1" customHeight="1" x14ac:dyDescent="0.2"/>
    <row r="135" s="27" customFormat="1" ht="14.1" customHeight="1" x14ac:dyDescent="0.2"/>
    <row r="136" s="27" customFormat="1" ht="14.1" customHeight="1" x14ac:dyDescent="0.2"/>
    <row r="137" s="27" customFormat="1" ht="14.1" customHeight="1" x14ac:dyDescent="0.2"/>
    <row r="138" s="27" customFormat="1" ht="14.1" customHeight="1" x14ac:dyDescent="0.2"/>
    <row r="139" s="27" customFormat="1" ht="14.1" customHeight="1" x14ac:dyDescent="0.2"/>
    <row r="140" s="27" customFormat="1" ht="14.1" customHeight="1" x14ac:dyDescent="0.2"/>
    <row r="141" s="27" customFormat="1" ht="14.1" customHeight="1" x14ac:dyDescent="0.2"/>
    <row r="142" s="27" customFormat="1" ht="14.1" customHeight="1" x14ac:dyDescent="0.2"/>
    <row r="143" s="27" customFormat="1" ht="14.1" customHeight="1" x14ac:dyDescent="0.2"/>
    <row r="144" s="27" customFormat="1" ht="14.1" customHeight="1" x14ac:dyDescent="0.2"/>
    <row r="145" s="27" customFormat="1" ht="14.1" customHeight="1" x14ac:dyDescent="0.2"/>
    <row r="146" s="27" customFormat="1" ht="14.1" customHeight="1" x14ac:dyDescent="0.2"/>
    <row r="147" s="27" customFormat="1" ht="14.1" customHeight="1" x14ac:dyDescent="0.2"/>
    <row r="148" s="27" customFormat="1" ht="14.1" customHeight="1" x14ac:dyDescent="0.2"/>
    <row r="149" s="27" customFormat="1" ht="14.1" customHeight="1" x14ac:dyDescent="0.2"/>
    <row r="150" s="27" customFormat="1" ht="14.1" customHeight="1" x14ac:dyDescent="0.2"/>
    <row r="151" s="27" customFormat="1" ht="14.1" customHeight="1" x14ac:dyDescent="0.2"/>
    <row r="152" s="27" customFormat="1" ht="14.1" customHeight="1" x14ac:dyDescent="0.2"/>
    <row r="153" s="27" customFormat="1" ht="14.1" customHeight="1" x14ac:dyDescent="0.2"/>
    <row r="154" s="27" customFormat="1" ht="14.1" customHeight="1" x14ac:dyDescent="0.2"/>
    <row r="155" s="27" customFormat="1" ht="14.1" customHeight="1" x14ac:dyDescent="0.2"/>
    <row r="156" s="27" customFormat="1" ht="14.1" customHeight="1" x14ac:dyDescent="0.2"/>
    <row r="157" s="27" customFormat="1" ht="14.1" customHeight="1" x14ac:dyDescent="0.2"/>
    <row r="158" s="27" customFormat="1" ht="14.1" customHeight="1" x14ac:dyDescent="0.2"/>
    <row r="159" s="27" customFormat="1" ht="14.1" customHeight="1" x14ac:dyDescent="0.2"/>
    <row r="160" s="27" customFormat="1" ht="14.1" customHeight="1" x14ac:dyDescent="0.2"/>
    <row r="161" s="27" customFormat="1" ht="14.1" customHeight="1" x14ac:dyDescent="0.2"/>
    <row r="162" s="27" customFormat="1" ht="14.1" customHeight="1" x14ac:dyDescent="0.2"/>
    <row r="163" s="27" customFormat="1" ht="14.1" customHeight="1" x14ac:dyDescent="0.2"/>
    <row r="164" s="27" customFormat="1" ht="14.1" customHeight="1" x14ac:dyDescent="0.2"/>
    <row r="165" s="27" customFormat="1" ht="14.1" customHeight="1" x14ac:dyDescent="0.2"/>
    <row r="166" s="27" customFormat="1" ht="14.1" customHeight="1" x14ac:dyDescent="0.2"/>
    <row r="167" s="27" customFormat="1" ht="14.1" customHeight="1" x14ac:dyDescent="0.2"/>
    <row r="168" s="27" customFormat="1" ht="14.1" customHeight="1" x14ac:dyDescent="0.2"/>
    <row r="169" s="27" customFormat="1" ht="14.1" customHeight="1" x14ac:dyDescent="0.2"/>
    <row r="170" s="27" customFormat="1" ht="14.1" customHeight="1" x14ac:dyDescent="0.2"/>
    <row r="171" s="27" customFormat="1" ht="14.1" customHeight="1" x14ac:dyDescent="0.2"/>
    <row r="172" s="27" customFormat="1" ht="14.1" customHeight="1" x14ac:dyDescent="0.2"/>
    <row r="173" s="27" customFormat="1" ht="14.1" customHeight="1" x14ac:dyDescent="0.2"/>
    <row r="174" s="27" customFormat="1" ht="14.1" customHeight="1" x14ac:dyDescent="0.2"/>
    <row r="175" s="27" customFormat="1" ht="14.1" customHeight="1" x14ac:dyDescent="0.2"/>
    <row r="176" s="27" customFormat="1" ht="14.1" customHeight="1" x14ac:dyDescent="0.2"/>
    <row r="177" s="27" customFormat="1" ht="14.1" customHeight="1" x14ac:dyDescent="0.2"/>
    <row r="178" s="27" customFormat="1" ht="14.1" customHeight="1" x14ac:dyDescent="0.2"/>
    <row r="179" s="27" customFormat="1" ht="14.1" customHeight="1" x14ac:dyDescent="0.2"/>
    <row r="180" s="27" customFormat="1" ht="14.1" customHeight="1" x14ac:dyDescent="0.2"/>
    <row r="181" s="27" customFormat="1" ht="14.1" customHeight="1" x14ac:dyDescent="0.2"/>
    <row r="182" s="27" customFormat="1" ht="14.1" customHeight="1" x14ac:dyDescent="0.2"/>
    <row r="183" s="27" customFormat="1" ht="14.1" customHeight="1" x14ac:dyDescent="0.2"/>
    <row r="184" s="27" customFormat="1" ht="14.1" customHeight="1" x14ac:dyDescent="0.2"/>
    <row r="185" s="27" customFormat="1" ht="14.1" customHeight="1" x14ac:dyDescent="0.2"/>
    <row r="186" s="27" customFormat="1" ht="14.1" customHeight="1" x14ac:dyDescent="0.2"/>
    <row r="187" s="27" customFormat="1" ht="14.1" customHeight="1" x14ac:dyDescent="0.2"/>
    <row r="188" s="27" customFormat="1" ht="14.1" customHeight="1" x14ac:dyDescent="0.2"/>
    <row r="189" s="27" customFormat="1" ht="14.1" customHeight="1" x14ac:dyDescent="0.2"/>
    <row r="190" s="27" customFormat="1" ht="14.1" customHeight="1" x14ac:dyDescent="0.2"/>
    <row r="191" s="27" customFormat="1" ht="14.1" customHeight="1" x14ac:dyDescent="0.2"/>
  </sheetData>
  <sheetProtection sheet="1" selectLockedCells="1"/>
  <mergeCells count="5">
    <mergeCell ref="B6:C6"/>
    <mergeCell ref="B8:C8"/>
    <mergeCell ref="N65:P65"/>
    <mergeCell ref="N83:O83"/>
    <mergeCell ref="N84:P84"/>
  </mergeCells>
  <pageMargins left="0.25" right="0.25" top="0.75" bottom="0.75" header="0.3" footer="0.3"/>
  <pageSetup paperSize="9" scale="46" fitToHeight="0" orientation="portrait" r:id="rId1"/>
  <headerFooter>
    <oddFooter>&amp;L&amp;A&amp;R&amp;P/&amp;N</oddFooter>
  </headerFooter>
  <rowBreaks count="1" manualBreakCount="1">
    <brk id="52" max="12" man="1"/>
  </rowBreaks>
  <colBreaks count="1" manualBreakCount="1">
    <brk id="8" max="121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FD6A42F-E725-4E82-8AF6-E38629B55672}">
          <x14:formula1>
            <xm:f>'Osnovni podatki'!$B$6:$B$40</xm:f>
          </x14:formula1>
          <xm:sqref>D6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BD418-CB37-493E-89C0-D155D673DF0D}">
  <sheetPr>
    <tabColor rgb="FFFFFF00"/>
    <pageSetUpPr fitToPage="1"/>
  </sheetPr>
  <dimension ref="A1:Y191"/>
  <sheetViews>
    <sheetView showGridLines="0" view="pageBreakPreview" zoomScale="85" zoomScaleNormal="100" zoomScaleSheetLayoutView="85" workbookViewId="0">
      <selection activeCell="D11" sqref="D11"/>
    </sheetView>
  </sheetViews>
  <sheetFormatPr defaultColWidth="9.140625" defaultRowHeight="12.75" x14ac:dyDescent="0.2"/>
  <cols>
    <col min="1" max="1" width="4.85546875" style="27" customWidth="1"/>
    <col min="2" max="2" width="43.5703125" style="27" customWidth="1"/>
    <col min="3" max="3" width="15" style="27" customWidth="1"/>
    <col min="4" max="4" width="18.85546875" style="27" customWidth="1"/>
    <col min="5" max="8" width="15" style="27" customWidth="1"/>
    <col min="9" max="9" width="8.28515625" style="27" customWidth="1"/>
    <col min="10" max="10" width="14.7109375" style="27" customWidth="1"/>
    <col min="11" max="11" width="13.85546875" style="27" customWidth="1"/>
    <col min="12" max="12" width="15.5703125" style="27" customWidth="1"/>
    <col min="13" max="13" width="16.140625" style="27" customWidth="1"/>
    <col min="14" max="14" width="18.42578125" style="27" customWidth="1"/>
    <col min="15" max="15" width="14.7109375" style="27" bestFit="1" customWidth="1"/>
    <col min="16" max="16" width="9.140625" style="27" customWidth="1"/>
    <col min="17" max="24" width="9.140625" style="27"/>
    <col min="25" max="25" width="14.5703125" style="27" bestFit="1" customWidth="1"/>
    <col min="26" max="16384" width="9.140625" style="27"/>
  </cols>
  <sheetData>
    <row r="1" spans="2:13" ht="14.1" customHeight="1" x14ac:dyDescent="0.2">
      <c r="B1" s="11"/>
      <c r="E1" s="11"/>
    </row>
    <row r="2" spans="2:13" ht="28.35" customHeight="1" x14ac:dyDescent="0.2">
      <c r="B2" s="53" t="s">
        <v>31</v>
      </c>
    </row>
    <row r="3" spans="2:13" ht="14.1" customHeight="1" x14ac:dyDescent="0.2"/>
    <row r="4" spans="2:13" ht="19.7" customHeight="1" thickBot="1" x14ac:dyDescent="0.25">
      <c r="B4" s="55" t="s">
        <v>2</v>
      </c>
    </row>
    <row r="5" spans="2:13" ht="18" customHeight="1" x14ac:dyDescent="0.2">
      <c r="B5" s="1" t="s">
        <v>32</v>
      </c>
      <c r="C5" s="29"/>
      <c r="D5" s="30"/>
    </row>
    <row r="6" spans="2:13" ht="18" customHeight="1" x14ac:dyDescent="0.2">
      <c r="B6" s="352" t="s">
        <v>6</v>
      </c>
      <c r="C6" s="353"/>
      <c r="D6" s="28">
        <v>4</v>
      </c>
      <c r="H6" s="154"/>
      <c r="J6" s="154"/>
      <c r="K6" s="154"/>
    </row>
    <row r="7" spans="2:13" ht="18" customHeight="1" x14ac:dyDescent="0.2">
      <c r="B7" s="155" t="s">
        <v>7</v>
      </c>
      <c r="C7" s="156"/>
      <c r="D7" s="157" t="str">
        <f ca="1">MID(CELL("filename", A1), FIND("]", CELL("filename", A1)) + 1, LEN(CELL("filename", A1)) - FIND("]", CELL("filename", A1)))</f>
        <v>IS04</v>
      </c>
      <c r="H7" s="154"/>
      <c r="J7" s="154"/>
      <c r="K7" s="154"/>
    </row>
    <row r="8" spans="2:13" ht="30" customHeight="1" thickBot="1" x14ac:dyDescent="0.25">
      <c r="B8" s="354" t="s">
        <v>58</v>
      </c>
      <c r="C8" s="355"/>
      <c r="D8" s="158" t="str">
        <f>INDEX('Referenčne količine'!$B$4:$M$12,MATCH($B8,('Referenčne količine'!$B$4:$B$12),0),MATCH($D$6,'Referenčne količine'!$B$5:$M$5,0))</f>
        <v>SE Stadion Brežice 1</v>
      </c>
      <c r="H8" s="154"/>
      <c r="J8" s="154"/>
      <c r="K8" s="154"/>
    </row>
    <row r="9" spans="2:13" ht="18.75" customHeight="1" x14ac:dyDescent="0.25">
      <c r="B9" s="159" t="s">
        <v>215</v>
      </c>
      <c r="C9" s="160"/>
      <c r="D9" s="161"/>
      <c r="H9" s="154"/>
      <c r="J9"/>
      <c r="K9" s="162"/>
      <c r="L9"/>
      <c r="M9"/>
    </row>
    <row r="10" spans="2:13" ht="18.75" customHeight="1" x14ac:dyDescent="0.25">
      <c r="B10" s="163" t="s">
        <v>62</v>
      </c>
      <c r="C10" s="164" t="s">
        <v>60</v>
      </c>
      <c r="D10" s="165">
        <f>INDEX('Referenčne količine'!$B$9:$M$12,MATCH(B10,('Referenčne količine'!$B$9:$B$12),0),MATCH($D$6,'Referenčne količine'!$B$5:$M$5,0))</f>
        <v>14.36</v>
      </c>
      <c r="H10" s="154"/>
      <c r="J10"/>
      <c r="K10" s="162"/>
      <c r="L10"/>
      <c r="M10"/>
    </row>
    <row r="11" spans="2:13" ht="18.75" customHeight="1" x14ac:dyDescent="0.25">
      <c r="B11" s="163" t="s">
        <v>148</v>
      </c>
      <c r="C11" s="164" t="s">
        <v>46</v>
      </c>
      <c r="D11" s="80"/>
      <c r="H11" s="154"/>
      <c r="J11" s="162"/>
      <c r="K11" s="162"/>
      <c r="L11"/>
      <c r="M11"/>
    </row>
    <row r="12" spans="2:13" ht="18.75" customHeight="1" x14ac:dyDescent="0.25">
      <c r="B12" s="163" t="s">
        <v>64</v>
      </c>
      <c r="C12" s="164" t="s">
        <v>27</v>
      </c>
      <c r="D12" s="165">
        <f>INDEX('Referenčne količine'!$B$9:$M$12,MATCH(B12,('Referenčne količine'!$B$9:$B$12),0),MATCH($D$6,'Referenčne količine'!$B$5:$M$5,0))</f>
        <v>0</v>
      </c>
      <c r="J12"/>
      <c r="K12"/>
      <c r="L12"/>
      <c r="M12"/>
    </row>
    <row r="13" spans="2:13" ht="18.75" customHeight="1" x14ac:dyDescent="0.25">
      <c r="B13" s="163" t="s">
        <v>65</v>
      </c>
      <c r="C13" s="164" t="s">
        <v>61</v>
      </c>
      <c r="D13" s="165">
        <f>INDEX('Referenčne količine'!$B$9:$M$12,MATCH(B13,('Referenčne količine'!$B$9:$B$12),0),MATCH($D$6,'Referenčne količine'!$B$5:$M$5,0))</f>
        <v>0</v>
      </c>
      <c r="J13"/>
      <c r="K13"/>
      <c r="L13"/>
      <c r="M13"/>
    </row>
    <row r="14" spans="2:13" ht="18.75" customHeight="1" thickBot="1" x14ac:dyDescent="0.3">
      <c r="B14" s="166" t="s">
        <v>145</v>
      </c>
      <c r="C14" s="167" t="s">
        <v>27</v>
      </c>
      <c r="D14" s="153"/>
      <c r="J14"/>
      <c r="K14"/>
      <c r="L14"/>
      <c r="M14"/>
    </row>
    <row r="15" spans="2:13" ht="18.75" customHeight="1" x14ac:dyDescent="0.25">
      <c r="B15" s="168" t="s">
        <v>77</v>
      </c>
      <c r="C15" s="169"/>
      <c r="D15" s="170"/>
      <c r="J15"/>
      <c r="K15"/>
      <c r="L15"/>
      <c r="M15"/>
    </row>
    <row r="16" spans="2:13" ht="18.75" customHeight="1" x14ac:dyDescent="0.25">
      <c r="B16" s="171" t="s">
        <v>140</v>
      </c>
      <c r="C16" s="172" t="s">
        <v>141</v>
      </c>
      <c r="D16" s="28">
        <f>IFERROR(VLOOKUP(D$6,'Osnovni podatki'!$B$6:$I$41,7,FALSE),"")</f>
        <v>12.76</v>
      </c>
      <c r="J16"/>
      <c r="K16"/>
      <c r="L16"/>
      <c r="M16"/>
    </row>
    <row r="17" spans="2:13" ht="18.75" customHeight="1" x14ac:dyDescent="0.25">
      <c r="B17" s="171" t="s">
        <v>77</v>
      </c>
      <c r="C17" s="172" t="s">
        <v>28</v>
      </c>
      <c r="D17" s="78"/>
      <c r="G17" s="173"/>
      <c r="J17"/>
      <c r="K17"/>
      <c r="L17"/>
      <c r="M17"/>
    </row>
    <row r="18" spans="2:13" ht="18.75" customHeight="1" x14ac:dyDescent="0.25">
      <c r="B18" s="171" t="s">
        <v>79</v>
      </c>
      <c r="C18" s="172" t="s">
        <v>28</v>
      </c>
      <c r="D18" s="79">
        <f>D16*358</f>
        <v>4568.08</v>
      </c>
      <c r="J18"/>
      <c r="K18"/>
      <c r="L18"/>
      <c r="M18"/>
    </row>
    <row r="19" spans="2:13" ht="18.75" customHeight="1" x14ac:dyDescent="0.25">
      <c r="B19" s="174" t="s">
        <v>147</v>
      </c>
      <c r="C19" s="175" t="s">
        <v>146</v>
      </c>
      <c r="D19" s="91"/>
      <c r="J19"/>
      <c r="K19"/>
      <c r="L19"/>
      <c r="M19"/>
    </row>
    <row r="20" spans="2:13" ht="18.75" customHeight="1" x14ac:dyDescent="0.25">
      <c r="B20" s="174" t="s">
        <v>200</v>
      </c>
      <c r="C20" s="175" t="s">
        <v>28</v>
      </c>
      <c r="D20" s="176">
        <f>D17-D18-D21</f>
        <v>-4568.08</v>
      </c>
      <c r="J20"/>
      <c r="K20"/>
      <c r="L20"/>
      <c r="M20"/>
    </row>
    <row r="21" spans="2:13" ht="18.75" customHeight="1" thickBot="1" x14ac:dyDescent="0.3">
      <c r="B21" s="174" t="s">
        <v>202</v>
      </c>
      <c r="C21" s="175" t="s">
        <v>28</v>
      </c>
      <c r="D21" s="165">
        <f>D17*D19</f>
        <v>0</v>
      </c>
      <c r="J21"/>
      <c r="K21"/>
      <c r="L21"/>
      <c r="M21"/>
    </row>
    <row r="22" spans="2:13" ht="18.75" customHeight="1" x14ac:dyDescent="0.25">
      <c r="B22" s="177" t="s">
        <v>66</v>
      </c>
      <c r="C22" s="178"/>
      <c r="D22" s="179"/>
      <c r="J22"/>
      <c r="K22"/>
      <c r="L22"/>
      <c r="M22"/>
    </row>
    <row r="23" spans="2:13" ht="18.75" customHeight="1" x14ac:dyDescent="0.25">
      <c r="B23" s="180" t="s">
        <v>67</v>
      </c>
      <c r="C23" s="181" t="s">
        <v>60</v>
      </c>
      <c r="D23" s="85"/>
      <c r="J23"/>
      <c r="K23"/>
      <c r="L23"/>
      <c r="M23"/>
    </row>
    <row r="24" spans="2:13" ht="18.75" customHeight="1" x14ac:dyDescent="0.25">
      <c r="B24" s="182" t="s">
        <v>137</v>
      </c>
      <c r="C24" s="183" t="s">
        <v>60</v>
      </c>
      <c r="D24" s="80"/>
      <c r="J24"/>
      <c r="K24"/>
      <c r="L24"/>
      <c r="M24"/>
    </row>
    <row r="25" spans="2:13" ht="18.75" customHeight="1" x14ac:dyDescent="0.25">
      <c r="B25" s="182" t="s">
        <v>138</v>
      </c>
      <c r="C25" s="183" t="s">
        <v>60</v>
      </c>
      <c r="D25" s="80"/>
      <c r="J25"/>
      <c r="K25"/>
      <c r="L25"/>
      <c r="M25"/>
    </row>
    <row r="26" spans="2:13" ht="18.75" customHeight="1" thickBot="1" x14ac:dyDescent="0.3">
      <c r="B26" s="184" t="s">
        <v>198</v>
      </c>
      <c r="C26" s="185" t="s">
        <v>60</v>
      </c>
      <c r="D26" s="186">
        <f>D10-D24</f>
        <v>14.36</v>
      </c>
      <c r="J26"/>
      <c r="K26"/>
      <c r="L26"/>
      <c r="M26"/>
    </row>
    <row r="27" spans="2:13" ht="18.75" customHeight="1" x14ac:dyDescent="0.25">
      <c r="B27" s="187" t="s">
        <v>29</v>
      </c>
      <c r="C27" s="188"/>
      <c r="D27" s="189"/>
      <c r="J27"/>
      <c r="K27"/>
      <c r="L27"/>
      <c r="M27"/>
    </row>
    <row r="28" spans="2:13" ht="18.75" customHeight="1" x14ac:dyDescent="0.25">
      <c r="B28" s="190" t="s">
        <v>216</v>
      </c>
      <c r="C28" s="191" t="s">
        <v>197</v>
      </c>
      <c r="D28" s="84"/>
      <c r="J28"/>
      <c r="K28"/>
      <c r="L28"/>
      <c r="M28"/>
    </row>
    <row r="29" spans="2:13" ht="18.75" customHeight="1" thickBot="1" x14ac:dyDescent="0.3">
      <c r="B29" s="192" t="s">
        <v>76</v>
      </c>
      <c r="C29" s="193" t="s">
        <v>61</v>
      </c>
      <c r="D29" s="194">
        <f>D16*D28</f>
        <v>0</v>
      </c>
      <c r="J29"/>
      <c r="K29"/>
      <c r="L29"/>
      <c r="M29"/>
    </row>
    <row r="30" spans="2:13" ht="18.75" customHeight="1" x14ac:dyDescent="0.25">
      <c r="B30" s="195" t="s">
        <v>199</v>
      </c>
      <c r="C30" s="196"/>
      <c r="D30" s="197"/>
      <c r="J30"/>
      <c r="K30"/>
      <c r="L30"/>
      <c r="M30"/>
    </row>
    <row r="31" spans="2:13" ht="18.75" customHeight="1" thickBot="1" x14ac:dyDescent="0.3">
      <c r="B31" s="198" t="s">
        <v>143</v>
      </c>
      <c r="C31" s="199" t="s">
        <v>27</v>
      </c>
      <c r="D31" s="83"/>
      <c r="J31"/>
      <c r="K31"/>
      <c r="L31"/>
      <c r="M31"/>
    </row>
    <row r="32" spans="2:13" ht="18.75" customHeight="1" x14ac:dyDescent="0.2">
      <c r="B32" s="200" t="s">
        <v>203</v>
      </c>
      <c r="C32" s="201"/>
      <c r="D32" s="202"/>
    </row>
    <row r="33" spans="2:6" ht="18.75" customHeight="1" x14ac:dyDescent="0.2">
      <c r="B33" s="203" t="s">
        <v>30</v>
      </c>
      <c r="C33" s="204" t="s">
        <v>61</v>
      </c>
      <c r="D33" s="165">
        <f>D13</f>
        <v>0</v>
      </c>
      <c r="E33" s="154"/>
    </row>
    <row r="34" spans="2:6" ht="18.75" customHeight="1" thickBot="1" x14ac:dyDescent="0.25">
      <c r="B34" s="205" t="s">
        <v>144</v>
      </c>
      <c r="C34" s="206" t="s">
        <v>61</v>
      </c>
      <c r="D34" s="194">
        <f>D10*D31</f>
        <v>0</v>
      </c>
    </row>
    <row r="35" spans="2:6" ht="18.75" customHeight="1" x14ac:dyDescent="0.2">
      <c r="B35" s="207" t="s">
        <v>204</v>
      </c>
      <c r="C35" s="208"/>
      <c r="D35" s="209"/>
    </row>
    <row r="36" spans="2:6" ht="18.75" customHeight="1" x14ac:dyDescent="0.2">
      <c r="B36" s="210" t="s">
        <v>205</v>
      </c>
      <c r="C36" s="211" t="s">
        <v>60</v>
      </c>
      <c r="D36" s="165">
        <f>D23*D11</f>
        <v>0</v>
      </c>
    </row>
    <row r="37" spans="2:6" ht="18.75" customHeight="1" x14ac:dyDescent="0.2">
      <c r="B37" s="210" t="s">
        <v>206</v>
      </c>
      <c r="C37" s="211" t="s">
        <v>146</v>
      </c>
      <c r="D37" s="212" t="e">
        <f>D24/D23</f>
        <v>#DIV/0!</v>
      </c>
    </row>
    <row r="38" spans="2:6" ht="18.75" customHeight="1" x14ac:dyDescent="0.2">
      <c r="B38" s="210" t="s">
        <v>70</v>
      </c>
      <c r="C38" s="211" t="s">
        <v>27</v>
      </c>
      <c r="D38" s="165">
        <f>D31</f>
        <v>0</v>
      </c>
    </row>
    <row r="39" spans="2:6" ht="18.75" customHeight="1" x14ac:dyDescent="0.2">
      <c r="B39" s="210" t="s">
        <v>207</v>
      </c>
      <c r="C39" s="211" t="s">
        <v>208</v>
      </c>
      <c r="D39" s="213">
        <f>J60</f>
        <v>10</v>
      </c>
    </row>
    <row r="40" spans="2:6" ht="18.75" customHeight="1" thickBot="1" x14ac:dyDescent="0.25">
      <c r="B40" s="214" t="s">
        <v>210</v>
      </c>
      <c r="C40" s="215" t="s">
        <v>28</v>
      </c>
      <c r="D40" s="194">
        <f>D20</f>
        <v>-4568.08</v>
      </c>
      <c r="F40" s="154"/>
    </row>
    <row r="41" spans="2:6" ht="14.1" customHeight="1" x14ac:dyDescent="0.2">
      <c r="F41" s="154"/>
    </row>
    <row r="42" spans="2:6" ht="14.1" customHeight="1" x14ac:dyDescent="0.2">
      <c r="B42" s="216"/>
      <c r="F42" s="154"/>
    </row>
    <row r="43" spans="2:6" ht="14.1" customHeight="1" x14ac:dyDescent="0.2">
      <c r="B43" s="216" t="s">
        <v>209</v>
      </c>
    </row>
    <row r="44" spans="2:6" ht="14.1" customHeight="1" x14ac:dyDescent="0.2">
      <c r="B44" s="27" t="s">
        <v>211</v>
      </c>
    </row>
    <row r="45" spans="2:6" ht="14.1" customHeight="1" x14ac:dyDescent="0.2">
      <c r="B45" s="27" t="s">
        <v>212</v>
      </c>
    </row>
    <row r="46" spans="2:6" ht="14.1" customHeight="1" x14ac:dyDescent="0.2">
      <c r="B46" s="27" t="s">
        <v>213</v>
      </c>
    </row>
    <row r="47" spans="2:6" ht="14.1" customHeight="1" x14ac:dyDescent="0.2">
      <c r="B47" s="27" t="s">
        <v>214</v>
      </c>
    </row>
    <row r="48" spans="2:6" ht="14.1" customHeight="1" x14ac:dyDescent="0.2"/>
    <row r="49" spans="1:25" ht="14.1" customHeight="1" x14ac:dyDescent="0.2"/>
    <row r="50" spans="1:25" ht="14.1" customHeight="1" x14ac:dyDescent="0.2"/>
    <row r="51" spans="1:25" ht="14.1" customHeight="1" x14ac:dyDescent="0.2">
      <c r="N51" s="10"/>
      <c r="O51" s="10"/>
      <c r="P51" s="10"/>
    </row>
    <row r="52" spans="1:25" ht="14.1" customHeight="1" x14ac:dyDescent="0.2">
      <c r="N52" s="10"/>
      <c r="O52" s="10"/>
      <c r="P52" s="10"/>
    </row>
    <row r="53" spans="1:25" ht="17.100000000000001" customHeight="1" thickBot="1" x14ac:dyDescent="0.25">
      <c r="B53" s="55"/>
      <c r="N53" s="10"/>
      <c r="O53" s="10"/>
      <c r="P53" s="10"/>
    </row>
    <row r="54" spans="1:25" ht="17.100000000000001" customHeight="1" x14ac:dyDescent="0.2">
      <c r="B54" s="217" t="s">
        <v>43</v>
      </c>
      <c r="C54" s="218"/>
      <c r="D54" s="218"/>
      <c r="E54" s="219" t="s">
        <v>217</v>
      </c>
      <c r="F54" s="219" t="s">
        <v>201</v>
      </c>
      <c r="G54" s="220" t="s">
        <v>24</v>
      </c>
      <c r="N54" s="221"/>
      <c r="O54" s="221"/>
      <c r="P54" s="10"/>
      <c r="Y54" s="222"/>
    </row>
    <row r="55" spans="1:25" ht="17.100000000000001" customHeight="1" x14ac:dyDescent="0.25">
      <c r="A55"/>
      <c r="B55" s="223" t="s">
        <v>78</v>
      </c>
      <c r="C55" s="224"/>
      <c r="D55" s="225" t="s">
        <v>61</v>
      </c>
      <c r="E55" s="92">
        <f>D24*D12+D25*D14-D29</f>
        <v>0</v>
      </c>
      <c r="F55" s="92">
        <f>D33-D34</f>
        <v>0</v>
      </c>
      <c r="G55" s="56">
        <f>D31*D10-(D26*D12-D25*D14)-D16*D28</f>
        <v>0</v>
      </c>
      <c r="H55" s="154"/>
      <c r="N55" s="221"/>
      <c r="O55" s="221"/>
      <c r="P55" s="10"/>
      <c r="Y55" s="222"/>
    </row>
    <row r="56" spans="1:25" ht="14.1" customHeight="1" x14ac:dyDescent="0.25">
      <c r="A56"/>
      <c r="B56" s="226" t="s">
        <v>44</v>
      </c>
      <c r="C56" s="227"/>
      <c r="D56" s="225" t="s">
        <v>28</v>
      </c>
      <c r="E56" s="92">
        <f>D78</f>
        <v>0</v>
      </c>
      <c r="F56" s="92" t="e">
        <f>F55/E55*E56</f>
        <v>#DIV/0!</v>
      </c>
      <c r="G56" s="56" t="e">
        <f>G55/E55*E56</f>
        <v>#DIV/0!</v>
      </c>
      <c r="H56" s="154"/>
      <c r="N56" s="221"/>
      <c r="O56" s="221"/>
      <c r="P56" s="10"/>
      <c r="Y56" s="222"/>
    </row>
    <row r="57" spans="1:25" ht="17.100000000000001" customHeight="1" x14ac:dyDescent="0.25">
      <c r="A57"/>
      <c r="B57" s="226" t="s">
        <v>45</v>
      </c>
      <c r="C57" s="227"/>
      <c r="D57" s="225" t="s">
        <v>28</v>
      </c>
      <c r="E57" s="92">
        <f>M91</f>
        <v>0</v>
      </c>
      <c r="F57" s="92" t="e">
        <f>F55/E55*E57</f>
        <v>#DIV/0!</v>
      </c>
      <c r="G57" s="56" t="e">
        <f>G55/E55*E57</f>
        <v>#DIV/0!</v>
      </c>
      <c r="H57" s="154"/>
      <c r="N57" s="221"/>
      <c r="O57" s="221"/>
      <c r="P57" s="10"/>
      <c r="Y57" s="222"/>
    </row>
    <row r="58" spans="1:25" ht="17.100000000000001" customHeight="1" thickBot="1" x14ac:dyDescent="0.3">
      <c r="A58"/>
      <c r="B58" s="228" t="s">
        <v>80</v>
      </c>
      <c r="C58" s="229"/>
      <c r="D58" s="230" t="s">
        <v>28</v>
      </c>
      <c r="E58" s="93">
        <f>D17-D18</f>
        <v>-4568.08</v>
      </c>
      <c r="F58" s="93">
        <f>D20</f>
        <v>-4568.08</v>
      </c>
      <c r="G58" s="94">
        <f>D21</f>
        <v>0</v>
      </c>
      <c r="H58" s="154"/>
      <c r="N58" s="221"/>
      <c r="O58" s="221"/>
      <c r="P58" s="10"/>
      <c r="Y58" s="222"/>
    </row>
    <row r="59" spans="1:25" ht="30.75" thickBot="1" x14ac:dyDescent="0.3">
      <c r="A59"/>
      <c r="B59"/>
      <c r="C59"/>
      <c r="D59"/>
      <c r="E59"/>
      <c r="J59" s="231" t="s">
        <v>41</v>
      </c>
      <c r="K59" s="24" t="s">
        <v>42</v>
      </c>
      <c r="L59" s="25"/>
      <c r="M59" s="26"/>
      <c r="N59" s="221"/>
      <c r="O59" s="221"/>
      <c r="P59" s="10"/>
      <c r="Y59" s="222"/>
    </row>
    <row r="60" spans="1:25" ht="17.100000000000001" customHeight="1" thickBot="1" x14ac:dyDescent="0.3">
      <c r="A60"/>
      <c r="B60" s="55" t="s">
        <v>34</v>
      </c>
      <c r="E60"/>
      <c r="J60" s="54">
        <f>'IS01'!J60</f>
        <v>10</v>
      </c>
      <c r="K60" s="21" t="s">
        <v>36</v>
      </c>
      <c r="L60" s="22" t="s">
        <v>37</v>
      </c>
      <c r="M60" s="23" t="s">
        <v>38</v>
      </c>
      <c r="N60" s="10"/>
      <c r="O60" s="10"/>
      <c r="P60" s="10"/>
      <c r="Y60" s="216"/>
    </row>
    <row r="61" spans="1:25" ht="15.75" customHeight="1" x14ac:dyDescent="0.25">
      <c r="A61"/>
      <c r="B61" s="13" t="s">
        <v>35</v>
      </c>
      <c r="C61" s="14"/>
      <c r="D61" s="15"/>
      <c r="E61"/>
      <c r="K61" s="232">
        <f>IF($J$60&gt;0, 1, "")</f>
        <v>1</v>
      </c>
      <c r="L61" s="233">
        <f t="shared" ref="L61:L90" si="0">IF($J$60&gt;=K61,$E$55, "")</f>
        <v>0</v>
      </c>
      <c r="M61" s="57">
        <f t="shared" ref="M61:M90" si="1">IF($J$60&gt;=K61,L61/((1+$M$93)^K61), "0")</f>
        <v>0</v>
      </c>
      <c r="N61" s="10"/>
      <c r="O61" s="10"/>
      <c r="P61" s="10"/>
      <c r="Y61" s="216"/>
    </row>
    <row r="62" spans="1:25" ht="15.75" customHeight="1" x14ac:dyDescent="0.25">
      <c r="A62"/>
      <c r="B62" s="2" t="s">
        <v>36</v>
      </c>
      <c r="C62" s="3" t="s">
        <v>37</v>
      </c>
      <c r="D62" s="4" t="s">
        <v>38</v>
      </c>
      <c r="E62"/>
      <c r="K62" s="234">
        <f>IF($J$60&gt;K61, 2, "")</f>
        <v>2</v>
      </c>
      <c r="L62" s="235">
        <f t="shared" si="0"/>
        <v>0</v>
      </c>
      <c r="M62" s="58">
        <f t="shared" si="1"/>
        <v>0</v>
      </c>
      <c r="N62" s="10"/>
      <c r="O62" s="10"/>
      <c r="P62" s="10"/>
      <c r="Y62" s="216"/>
    </row>
    <row r="63" spans="1:25" ht="15.75" customHeight="1" x14ac:dyDescent="0.25">
      <c r="A63"/>
      <c r="B63" s="31">
        <v>1</v>
      </c>
      <c r="C63" s="47">
        <f t="shared" ref="C63:C77" si="2">$E$55</f>
        <v>0</v>
      </c>
      <c r="D63" s="48">
        <f t="shared" ref="D63:D77" si="3">C63/((1+$D$80)^B63)</f>
        <v>0</v>
      </c>
      <c r="E63" s="162"/>
      <c r="K63" s="234">
        <f>IF($J$60&gt;K62,3, "")</f>
        <v>3</v>
      </c>
      <c r="L63" s="235">
        <f t="shared" si="0"/>
        <v>0</v>
      </c>
      <c r="M63" s="58">
        <f t="shared" si="1"/>
        <v>0</v>
      </c>
      <c r="N63" s="236"/>
      <c r="O63" s="236"/>
      <c r="P63" s="10"/>
      <c r="Y63" s="237"/>
    </row>
    <row r="64" spans="1:25" ht="15.75" customHeight="1" x14ac:dyDescent="0.2">
      <c r="B64" s="31">
        <v>2</v>
      </c>
      <c r="C64" s="47">
        <f t="shared" si="2"/>
        <v>0</v>
      </c>
      <c r="D64" s="48">
        <f t="shared" si="3"/>
        <v>0</v>
      </c>
      <c r="E64" s="247"/>
      <c r="K64" s="234">
        <f>IF($J$60&gt;K63, 4, "")</f>
        <v>4</v>
      </c>
      <c r="L64" s="235">
        <f t="shared" si="0"/>
        <v>0</v>
      </c>
      <c r="M64" s="58">
        <f t="shared" si="1"/>
        <v>0</v>
      </c>
      <c r="N64" s="10"/>
      <c r="O64" s="10"/>
      <c r="P64" s="10"/>
    </row>
    <row r="65" spans="2:19" ht="15.75" customHeight="1" x14ac:dyDescent="0.2">
      <c r="B65" s="31">
        <v>3</v>
      </c>
      <c r="C65" s="47">
        <f t="shared" si="2"/>
        <v>0</v>
      </c>
      <c r="D65" s="48">
        <f t="shared" si="3"/>
        <v>0</v>
      </c>
      <c r="E65" s="247"/>
      <c r="K65" s="234">
        <f>IF($J$60&gt;K64, 5, "")</f>
        <v>5</v>
      </c>
      <c r="L65" s="235">
        <f t="shared" si="0"/>
        <v>0</v>
      </c>
      <c r="M65" s="58">
        <f t="shared" si="1"/>
        <v>0</v>
      </c>
      <c r="N65" s="351"/>
      <c r="O65" s="351"/>
      <c r="P65" s="351"/>
    </row>
    <row r="66" spans="2:19" ht="15.75" customHeight="1" x14ac:dyDescent="0.2">
      <c r="B66" s="31">
        <v>4</v>
      </c>
      <c r="C66" s="47">
        <f t="shared" si="2"/>
        <v>0</v>
      </c>
      <c r="D66" s="48">
        <f t="shared" si="3"/>
        <v>0</v>
      </c>
      <c r="E66" s="247"/>
      <c r="G66" s="59"/>
      <c r="K66" s="234">
        <f>IF($J$60&gt;K65, 6, "")</f>
        <v>6</v>
      </c>
      <c r="L66" s="235">
        <f t="shared" si="0"/>
        <v>0</v>
      </c>
      <c r="M66" s="58">
        <f t="shared" si="1"/>
        <v>0</v>
      </c>
      <c r="N66" s="10"/>
      <c r="O66" s="10"/>
      <c r="P66" s="10"/>
    </row>
    <row r="67" spans="2:19" ht="15.75" customHeight="1" x14ac:dyDescent="0.2">
      <c r="B67" s="31">
        <v>5</v>
      </c>
      <c r="C67" s="47">
        <f t="shared" si="2"/>
        <v>0</v>
      </c>
      <c r="D67" s="48">
        <f t="shared" si="3"/>
        <v>0</v>
      </c>
      <c r="E67" s="247"/>
      <c r="I67" s="10"/>
      <c r="K67" s="234">
        <f>IF($J$60&gt;K66, 7, "")</f>
        <v>7</v>
      </c>
      <c r="L67" s="235">
        <f t="shared" si="0"/>
        <v>0</v>
      </c>
      <c r="M67" s="58">
        <f t="shared" si="1"/>
        <v>0</v>
      </c>
      <c r="N67" s="10"/>
      <c r="O67" s="10"/>
      <c r="P67" s="10"/>
    </row>
    <row r="68" spans="2:19" ht="15.75" customHeight="1" x14ac:dyDescent="0.2">
      <c r="B68" s="31">
        <v>6</v>
      </c>
      <c r="C68" s="47">
        <f t="shared" si="2"/>
        <v>0</v>
      </c>
      <c r="D68" s="48">
        <f t="shared" si="3"/>
        <v>0</v>
      </c>
      <c r="E68" s="247"/>
      <c r="I68" s="10"/>
      <c r="K68" s="234">
        <f>IF($J$60&gt;K67, 8, "")</f>
        <v>8</v>
      </c>
      <c r="L68" s="235">
        <f t="shared" si="0"/>
        <v>0</v>
      </c>
      <c r="M68" s="58">
        <f t="shared" si="1"/>
        <v>0</v>
      </c>
      <c r="N68" s="10"/>
      <c r="O68" s="10"/>
      <c r="P68" s="10"/>
      <c r="Q68" s="10"/>
      <c r="R68" s="10"/>
      <c r="S68" s="10"/>
    </row>
    <row r="69" spans="2:19" ht="15.75" customHeight="1" x14ac:dyDescent="0.2">
      <c r="B69" s="31">
        <v>7</v>
      </c>
      <c r="C69" s="47">
        <f t="shared" si="2"/>
        <v>0</v>
      </c>
      <c r="D69" s="48">
        <f t="shared" si="3"/>
        <v>0</v>
      </c>
      <c r="E69" s="247"/>
      <c r="K69" s="234">
        <f>IF($J$60&gt;K68, 9, "")</f>
        <v>9</v>
      </c>
      <c r="L69" s="235">
        <f t="shared" si="0"/>
        <v>0</v>
      </c>
      <c r="M69" s="58">
        <f t="shared" si="1"/>
        <v>0</v>
      </c>
      <c r="N69" s="10"/>
      <c r="O69" s="10"/>
      <c r="P69" s="10"/>
      <c r="Q69" s="10"/>
      <c r="R69" s="10"/>
      <c r="S69" s="10"/>
    </row>
    <row r="70" spans="2:19" ht="15.75" customHeight="1" x14ac:dyDescent="0.2">
      <c r="B70" s="31">
        <v>8</v>
      </c>
      <c r="C70" s="47">
        <f t="shared" si="2"/>
        <v>0</v>
      </c>
      <c r="D70" s="48">
        <f t="shared" si="3"/>
        <v>0</v>
      </c>
      <c r="E70" s="247"/>
      <c r="K70" s="234">
        <f>IF($J$60&gt;K69, 10, "")</f>
        <v>10</v>
      </c>
      <c r="L70" s="235">
        <f t="shared" si="0"/>
        <v>0</v>
      </c>
      <c r="M70" s="58">
        <f t="shared" si="1"/>
        <v>0</v>
      </c>
      <c r="N70" s="10"/>
      <c r="O70" s="10"/>
      <c r="P70" s="10"/>
    </row>
    <row r="71" spans="2:19" ht="15.75" customHeight="1" x14ac:dyDescent="0.2">
      <c r="B71" s="31">
        <v>9</v>
      </c>
      <c r="C71" s="47">
        <f t="shared" si="2"/>
        <v>0</v>
      </c>
      <c r="D71" s="48">
        <f t="shared" si="3"/>
        <v>0</v>
      </c>
      <c r="E71" s="247"/>
      <c r="K71" s="234" t="str">
        <f>IF($J$60&gt;K70, 11, "")</f>
        <v/>
      </c>
      <c r="L71" s="235" t="str">
        <f t="shared" si="0"/>
        <v/>
      </c>
      <c r="M71" s="58" t="str">
        <f t="shared" si="1"/>
        <v>0</v>
      </c>
      <c r="N71" s="10"/>
      <c r="O71" s="10"/>
      <c r="P71" s="10"/>
    </row>
    <row r="72" spans="2:19" ht="15.75" customHeight="1" x14ac:dyDescent="0.2">
      <c r="B72" s="31">
        <v>10</v>
      </c>
      <c r="C72" s="47">
        <f t="shared" si="2"/>
        <v>0</v>
      </c>
      <c r="D72" s="48">
        <f t="shared" si="3"/>
        <v>0</v>
      </c>
      <c r="E72" s="247"/>
      <c r="K72" s="234" t="str">
        <f>IF($J$60&gt;K71, 12, "")</f>
        <v/>
      </c>
      <c r="L72" s="235" t="str">
        <f t="shared" si="0"/>
        <v/>
      </c>
      <c r="M72" s="58" t="str">
        <f t="shared" si="1"/>
        <v>0</v>
      </c>
      <c r="N72" s="10"/>
      <c r="O72" s="10"/>
      <c r="P72" s="10"/>
    </row>
    <row r="73" spans="2:19" ht="15.75" customHeight="1" x14ac:dyDescent="0.2">
      <c r="B73" s="31">
        <v>11</v>
      </c>
      <c r="C73" s="47">
        <f t="shared" si="2"/>
        <v>0</v>
      </c>
      <c r="D73" s="48">
        <f t="shared" si="3"/>
        <v>0</v>
      </c>
      <c r="E73" s="247"/>
      <c r="K73" s="234" t="str">
        <f>IF($J$60&gt;K72, 13, "")</f>
        <v/>
      </c>
      <c r="L73" s="235" t="str">
        <f t="shared" si="0"/>
        <v/>
      </c>
      <c r="M73" s="58" t="str">
        <f t="shared" si="1"/>
        <v>0</v>
      </c>
      <c r="N73" s="10"/>
      <c r="O73" s="10"/>
      <c r="P73" s="10"/>
    </row>
    <row r="74" spans="2:19" ht="15.75" customHeight="1" x14ac:dyDescent="0.2">
      <c r="B74" s="31">
        <v>12</v>
      </c>
      <c r="C74" s="47">
        <f t="shared" si="2"/>
        <v>0</v>
      </c>
      <c r="D74" s="48">
        <f t="shared" si="3"/>
        <v>0</v>
      </c>
      <c r="E74" s="247"/>
      <c r="K74" s="234" t="str">
        <f>IF($J$60&gt;K73, 14, "")</f>
        <v/>
      </c>
      <c r="L74" s="235" t="str">
        <f t="shared" si="0"/>
        <v/>
      </c>
      <c r="M74" s="58" t="str">
        <f t="shared" si="1"/>
        <v>0</v>
      </c>
      <c r="N74" s="10"/>
      <c r="O74" s="10"/>
      <c r="P74" s="10"/>
    </row>
    <row r="75" spans="2:19" ht="15.75" customHeight="1" x14ac:dyDescent="0.2">
      <c r="B75" s="31">
        <v>13</v>
      </c>
      <c r="C75" s="47">
        <f t="shared" si="2"/>
        <v>0</v>
      </c>
      <c r="D75" s="48">
        <f t="shared" si="3"/>
        <v>0</v>
      </c>
      <c r="E75" s="247"/>
      <c r="K75" s="234" t="str">
        <f>IF($J$60&gt;K74, 15, "")</f>
        <v/>
      </c>
      <c r="L75" s="235" t="str">
        <f t="shared" si="0"/>
        <v/>
      </c>
      <c r="M75" s="58" t="str">
        <f t="shared" si="1"/>
        <v>0</v>
      </c>
      <c r="N75" s="10"/>
      <c r="O75" s="10"/>
      <c r="P75" s="10"/>
    </row>
    <row r="76" spans="2:19" ht="15.75" customHeight="1" x14ac:dyDescent="0.25">
      <c r="B76" s="31">
        <v>14</v>
      </c>
      <c r="C76" s="47">
        <f t="shared" si="2"/>
        <v>0</v>
      </c>
      <c r="D76" s="48">
        <f t="shared" si="3"/>
        <v>0</v>
      </c>
      <c r="E76" s="247"/>
      <c r="G76"/>
      <c r="K76" s="234" t="str">
        <f>IF($J$60&gt;K75, 16, "")</f>
        <v/>
      </c>
      <c r="L76" s="235" t="str">
        <f t="shared" si="0"/>
        <v/>
      </c>
      <c r="M76" s="58" t="str">
        <f t="shared" si="1"/>
        <v>0</v>
      </c>
      <c r="N76" s="10"/>
      <c r="O76" s="10"/>
      <c r="P76" s="10"/>
    </row>
    <row r="77" spans="2:19" ht="15.75" customHeight="1" x14ac:dyDescent="0.25">
      <c r="B77" s="31">
        <v>15</v>
      </c>
      <c r="C77" s="47">
        <f t="shared" si="2"/>
        <v>0</v>
      </c>
      <c r="D77" s="48">
        <f t="shared" si="3"/>
        <v>0</v>
      </c>
      <c r="E77" s="247"/>
      <c r="G77"/>
      <c r="K77" s="234" t="str">
        <f>IF($J$60&gt;K76, 17, "")</f>
        <v/>
      </c>
      <c r="L77" s="235" t="str">
        <f t="shared" si="0"/>
        <v/>
      </c>
      <c r="M77" s="58" t="str">
        <f t="shared" si="1"/>
        <v>0</v>
      </c>
      <c r="N77" s="10"/>
      <c r="O77" s="10"/>
      <c r="P77" s="10"/>
    </row>
    <row r="78" spans="2:19" ht="15.75" customHeight="1" thickBot="1" x14ac:dyDescent="0.3">
      <c r="B78" s="12" t="s">
        <v>39</v>
      </c>
      <c r="C78" s="51">
        <f>SUM(C63:C77)</f>
        <v>0</v>
      </c>
      <c r="D78" s="52">
        <f>SUM(D63:D77)</f>
        <v>0</v>
      </c>
      <c r="E78" s="162"/>
      <c r="F78" s="238"/>
      <c r="G78" s="238"/>
      <c r="K78" s="234" t="str">
        <f>IF($J$60&gt;K77, 18, "")</f>
        <v/>
      </c>
      <c r="L78" s="235" t="str">
        <f t="shared" si="0"/>
        <v/>
      </c>
      <c r="M78" s="58" t="str">
        <f t="shared" si="1"/>
        <v>0</v>
      </c>
      <c r="N78" s="10"/>
      <c r="O78" s="10"/>
      <c r="P78" s="10"/>
    </row>
    <row r="79" spans="2:19" ht="15.75" customHeight="1" x14ac:dyDescent="0.25">
      <c r="B79" s="239"/>
      <c r="C79" s="240"/>
      <c r="D79" s="241"/>
      <c r="E79"/>
      <c r="F79"/>
      <c r="G79"/>
      <c r="K79" s="234" t="str">
        <f>IF($J$60&gt;K78, 19, "")</f>
        <v/>
      </c>
      <c r="L79" s="235" t="str">
        <f t="shared" si="0"/>
        <v/>
      </c>
      <c r="M79" s="58" t="str">
        <f t="shared" si="1"/>
        <v>0</v>
      </c>
      <c r="N79" s="10"/>
      <c r="O79" s="10"/>
      <c r="P79" s="10"/>
    </row>
    <row r="80" spans="2:19" ht="15.75" customHeight="1" thickBot="1" x14ac:dyDescent="0.3">
      <c r="B80" s="242" t="s">
        <v>40</v>
      </c>
      <c r="C80" s="243"/>
      <c r="D80" s="60">
        <v>0.04</v>
      </c>
      <c r="E80"/>
      <c r="F80"/>
      <c r="G80" s="238"/>
      <c r="K80" s="234" t="str">
        <f>IF($J$60&gt;K79, 20, "")</f>
        <v/>
      </c>
      <c r="L80" s="235" t="str">
        <f t="shared" si="0"/>
        <v/>
      </c>
      <c r="M80" s="58" t="str">
        <f t="shared" si="1"/>
        <v>0</v>
      </c>
      <c r="N80" s="10"/>
      <c r="O80" s="10"/>
      <c r="P80" s="10"/>
      <c r="Q80" s="10"/>
      <c r="R80" s="10"/>
      <c r="S80" s="10"/>
    </row>
    <row r="81" spans="1:19" ht="15.75" customHeight="1" x14ac:dyDescent="0.25">
      <c r="B81"/>
      <c r="C81"/>
      <c r="D81"/>
      <c r="E81"/>
      <c r="F81"/>
      <c r="G81"/>
      <c r="K81" s="234" t="str">
        <f>IF($J$60&gt;K80, 21, "")</f>
        <v/>
      </c>
      <c r="L81" s="235" t="str">
        <f t="shared" si="0"/>
        <v/>
      </c>
      <c r="M81" s="58" t="str">
        <f t="shared" si="1"/>
        <v>0</v>
      </c>
      <c r="N81" s="10"/>
      <c r="O81" s="10"/>
      <c r="P81" s="10"/>
      <c r="Q81" s="10"/>
      <c r="R81" s="10"/>
      <c r="S81" s="10"/>
    </row>
    <row r="82" spans="1:19" ht="15.75" customHeight="1" x14ac:dyDescent="0.25">
      <c r="B82"/>
      <c r="C82"/>
      <c r="D82"/>
      <c r="E82"/>
      <c r="F82"/>
      <c r="G82"/>
      <c r="K82" s="234" t="str">
        <f>IF($J$60&gt;K81, 22, "")</f>
        <v/>
      </c>
      <c r="L82" s="235" t="str">
        <f t="shared" si="0"/>
        <v/>
      </c>
      <c r="M82" s="58" t="str">
        <f t="shared" si="1"/>
        <v>0</v>
      </c>
      <c r="N82" s="10"/>
      <c r="O82" s="10"/>
      <c r="P82" s="10"/>
    </row>
    <row r="83" spans="1:19" ht="15.75" customHeight="1" x14ac:dyDescent="0.25">
      <c r="B83"/>
      <c r="C83"/>
      <c r="D83"/>
      <c r="E83"/>
      <c r="F83"/>
      <c r="G83"/>
      <c r="K83" s="234" t="str">
        <f>IF($J$60&gt;K82, 23, "")</f>
        <v/>
      </c>
      <c r="L83" s="235" t="str">
        <f t="shared" si="0"/>
        <v/>
      </c>
      <c r="M83" s="58" t="str">
        <f t="shared" si="1"/>
        <v>0</v>
      </c>
      <c r="N83" s="351"/>
      <c r="O83" s="351"/>
      <c r="P83" s="10"/>
    </row>
    <row r="84" spans="1:19" ht="15.75" customHeight="1" x14ac:dyDescent="0.25">
      <c r="B84"/>
      <c r="C84"/>
      <c r="D84"/>
      <c r="E84"/>
      <c r="F84"/>
      <c r="G84"/>
      <c r="K84" s="234" t="str">
        <f>IF($J$60&gt;K83, 24, "")</f>
        <v/>
      </c>
      <c r="L84" s="235" t="str">
        <f t="shared" si="0"/>
        <v/>
      </c>
      <c r="M84" s="58" t="str">
        <f t="shared" si="1"/>
        <v>0</v>
      </c>
      <c r="N84" s="351"/>
      <c r="O84" s="351"/>
      <c r="P84" s="351"/>
    </row>
    <row r="85" spans="1:19" ht="15.75" customHeight="1" x14ac:dyDescent="0.25">
      <c r="B85"/>
      <c r="C85"/>
      <c r="D85"/>
      <c r="E85"/>
      <c r="F85"/>
      <c r="G85"/>
      <c r="K85" s="234" t="str">
        <f>IF($J$60&gt;K84, 25, "")</f>
        <v/>
      </c>
      <c r="L85" s="235" t="str">
        <f t="shared" si="0"/>
        <v/>
      </c>
      <c r="M85" s="58" t="str">
        <f t="shared" si="1"/>
        <v>0</v>
      </c>
      <c r="N85" s="10"/>
      <c r="O85" s="10"/>
      <c r="P85" s="10"/>
    </row>
    <row r="86" spans="1:19" ht="15.75" customHeight="1" x14ac:dyDescent="0.25">
      <c r="B86"/>
      <c r="C86"/>
      <c r="D86"/>
      <c r="E86"/>
      <c r="F86"/>
      <c r="G86"/>
      <c r="K86" s="234" t="str">
        <f>IF($J$60&gt;K85, 26, "")</f>
        <v/>
      </c>
      <c r="L86" s="235" t="str">
        <f>IF($J$60&gt;=K86,$E$55, "")</f>
        <v/>
      </c>
      <c r="M86" s="58" t="str">
        <f t="shared" si="1"/>
        <v>0</v>
      </c>
      <c r="N86" s="10"/>
      <c r="O86" s="10"/>
      <c r="P86" s="10"/>
    </row>
    <row r="87" spans="1:19" ht="15.75" customHeight="1" x14ac:dyDescent="0.25">
      <c r="A87"/>
      <c r="B87"/>
      <c r="C87"/>
      <c r="D87"/>
      <c r="E87"/>
      <c r="F87"/>
      <c r="G87"/>
      <c r="K87" s="234" t="str">
        <f>IF($J$60&gt;K86, 27, "")</f>
        <v/>
      </c>
      <c r="L87" s="235" t="str">
        <f t="shared" si="0"/>
        <v/>
      </c>
      <c r="M87" s="58" t="str">
        <f t="shared" si="1"/>
        <v>0</v>
      </c>
    </row>
    <row r="88" spans="1:19" ht="15.75" customHeight="1" x14ac:dyDescent="0.25">
      <c r="A88"/>
      <c r="B88"/>
      <c r="C88"/>
      <c r="D88"/>
      <c r="E88"/>
      <c r="F88"/>
      <c r="K88" s="234" t="str">
        <f>IF($J$60&gt;K87, 28, "")</f>
        <v/>
      </c>
      <c r="L88" s="235" t="str">
        <f t="shared" si="0"/>
        <v/>
      </c>
      <c r="M88" s="58" t="str">
        <f t="shared" si="1"/>
        <v>0</v>
      </c>
    </row>
    <row r="89" spans="1:19" ht="15.75" customHeight="1" x14ac:dyDescent="0.25">
      <c r="A89"/>
      <c r="B89"/>
      <c r="C89"/>
      <c r="D89"/>
      <c r="E89"/>
      <c r="F89"/>
      <c r="K89" s="234" t="str">
        <f>IF($J$60&gt;K88, 29, "")</f>
        <v/>
      </c>
      <c r="L89" s="235" t="str">
        <f t="shared" si="0"/>
        <v/>
      </c>
      <c r="M89" s="58" t="str">
        <f t="shared" si="1"/>
        <v>0</v>
      </c>
    </row>
    <row r="90" spans="1:19" ht="15.75" customHeight="1" x14ac:dyDescent="0.25">
      <c r="A90"/>
      <c r="B90"/>
      <c r="C90"/>
      <c r="D90"/>
      <c r="E90"/>
      <c r="F90"/>
      <c r="K90" s="234" t="str">
        <f>IF($J$60&gt;K89, 30, "")</f>
        <v/>
      </c>
      <c r="L90" s="235" t="str">
        <f t="shared" si="0"/>
        <v/>
      </c>
      <c r="M90" s="58" t="str">
        <f t="shared" si="1"/>
        <v>0</v>
      </c>
    </row>
    <row r="91" spans="1:19" ht="15.75" customHeight="1" x14ac:dyDescent="0.25">
      <c r="A91"/>
      <c r="B91"/>
      <c r="C91"/>
      <c r="D91"/>
      <c r="E91"/>
      <c r="F91"/>
      <c r="K91" s="2" t="s">
        <v>39</v>
      </c>
      <c r="L91" s="49">
        <f>SUM(L61:L90)</f>
        <v>0</v>
      </c>
      <c r="M91" s="50">
        <f>SUM(M61:M80)</f>
        <v>0</v>
      </c>
    </row>
    <row r="92" spans="1:19" ht="15.75" customHeight="1" x14ac:dyDescent="0.25">
      <c r="A92"/>
      <c r="B92"/>
      <c r="C92"/>
      <c r="D92"/>
      <c r="E92"/>
      <c r="F92"/>
      <c r="K92" s="245"/>
      <c r="L92" s="246"/>
      <c r="M92" s="28"/>
    </row>
    <row r="93" spans="1:19" ht="15.75" customHeight="1" thickBot="1" x14ac:dyDescent="0.3">
      <c r="A93"/>
      <c r="B93"/>
      <c r="C93"/>
      <c r="D93"/>
      <c r="E93"/>
      <c r="F93"/>
      <c r="K93" s="242" t="s">
        <v>40</v>
      </c>
      <c r="L93" s="243"/>
      <c r="M93" s="60">
        <v>0.04</v>
      </c>
    </row>
    <row r="94" spans="1:19" ht="15" x14ac:dyDescent="0.25">
      <c r="A94"/>
      <c r="B94"/>
      <c r="C94"/>
      <c r="D94"/>
      <c r="E94"/>
      <c r="F94"/>
    </row>
    <row r="95" spans="1:19" ht="14.1" customHeight="1" x14ac:dyDescent="0.2"/>
    <row r="96" spans="1:19" ht="14.1" customHeight="1" x14ac:dyDescent="0.2"/>
    <row r="97" s="27" customFormat="1" ht="14.1" customHeight="1" x14ac:dyDescent="0.2"/>
    <row r="98" s="27" customFormat="1" ht="14.1" customHeight="1" x14ac:dyDescent="0.2"/>
    <row r="99" s="27" customFormat="1" ht="14.1" customHeight="1" x14ac:dyDescent="0.2"/>
    <row r="100" s="27" customFormat="1" ht="14.1" customHeight="1" x14ac:dyDescent="0.2"/>
    <row r="101" s="27" customFormat="1" ht="14.1" customHeight="1" x14ac:dyDescent="0.2"/>
    <row r="102" s="27" customFormat="1" ht="14.1" customHeight="1" x14ac:dyDescent="0.2"/>
    <row r="103" s="27" customFormat="1" ht="14.1" customHeight="1" x14ac:dyDescent="0.2"/>
    <row r="104" s="27" customFormat="1" ht="14.1" customHeight="1" x14ac:dyDescent="0.2"/>
    <row r="105" s="27" customFormat="1" ht="14.1" customHeight="1" x14ac:dyDescent="0.2"/>
    <row r="106" s="27" customFormat="1" ht="14.1" customHeight="1" x14ac:dyDescent="0.2"/>
    <row r="107" s="27" customFormat="1" ht="14.1" customHeight="1" x14ac:dyDescent="0.2"/>
    <row r="108" s="27" customFormat="1" ht="14.1" customHeight="1" x14ac:dyDescent="0.2"/>
    <row r="109" s="27" customFormat="1" ht="14.1" customHeight="1" x14ac:dyDescent="0.2"/>
    <row r="110" s="27" customFormat="1" ht="14.1" customHeight="1" x14ac:dyDescent="0.2"/>
    <row r="111" s="27" customFormat="1" ht="14.1" customHeight="1" x14ac:dyDescent="0.2"/>
    <row r="112" s="27" customFormat="1" ht="14.1" customHeight="1" x14ac:dyDescent="0.2"/>
    <row r="113" s="27" customFormat="1" ht="14.1" customHeight="1" x14ac:dyDescent="0.2"/>
    <row r="114" s="27" customFormat="1" ht="14.1" customHeight="1" x14ac:dyDescent="0.2"/>
    <row r="115" s="27" customFormat="1" ht="14.1" customHeight="1" x14ac:dyDescent="0.2"/>
    <row r="116" s="27" customFormat="1" ht="14.1" customHeight="1" x14ac:dyDescent="0.2"/>
    <row r="117" s="27" customFormat="1" ht="14.1" customHeight="1" x14ac:dyDescent="0.2"/>
    <row r="118" s="27" customFormat="1" ht="14.1" customHeight="1" x14ac:dyDescent="0.2"/>
    <row r="119" s="27" customFormat="1" ht="14.1" customHeight="1" x14ac:dyDescent="0.2"/>
    <row r="120" s="27" customFormat="1" ht="14.1" customHeight="1" x14ac:dyDescent="0.2"/>
    <row r="121" s="27" customFormat="1" ht="14.1" customHeight="1" x14ac:dyDescent="0.2"/>
    <row r="122" s="27" customFormat="1" ht="14.1" customHeight="1" x14ac:dyDescent="0.2"/>
    <row r="123" s="27" customFormat="1" ht="14.1" customHeight="1" x14ac:dyDescent="0.2"/>
    <row r="124" s="27" customFormat="1" ht="14.1" customHeight="1" x14ac:dyDescent="0.2"/>
    <row r="125" s="27" customFormat="1" ht="14.1" customHeight="1" x14ac:dyDescent="0.2"/>
    <row r="126" s="27" customFormat="1" ht="14.1" customHeight="1" x14ac:dyDescent="0.2"/>
    <row r="127" s="27" customFormat="1" ht="14.1" customHeight="1" x14ac:dyDescent="0.2"/>
    <row r="128" s="27" customFormat="1" ht="14.1" customHeight="1" x14ac:dyDescent="0.2"/>
    <row r="129" s="27" customFormat="1" ht="14.1" customHeight="1" x14ac:dyDescent="0.2"/>
    <row r="130" s="27" customFormat="1" ht="14.1" customHeight="1" x14ac:dyDescent="0.2"/>
    <row r="131" s="27" customFormat="1" ht="14.1" customHeight="1" x14ac:dyDescent="0.2"/>
    <row r="132" s="27" customFormat="1" ht="14.1" customHeight="1" x14ac:dyDescent="0.2"/>
    <row r="133" s="27" customFormat="1" ht="14.1" customHeight="1" x14ac:dyDescent="0.2"/>
    <row r="134" s="27" customFormat="1" ht="14.1" customHeight="1" x14ac:dyDescent="0.2"/>
    <row r="135" s="27" customFormat="1" ht="14.1" customHeight="1" x14ac:dyDescent="0.2"/>
    <row r="136" s="27" customFormat="1" ht="14.1" customHeight="1" x14ac:dyDescent="0.2"/>
    <row r="137" s="27" customFormat="1" ht="14.1" customHeight="1" x14ac:dyDescent="0.2"/>
    <row r="138" s="27" customFormat="1" ht="14.1" customHeight="1" x14ac:dyDescent="0.2"/>
    <row r="139" s="27" customFormat="1" ht="14.1" customHeight="1" x14ac:dyDescent="0.2"/>
    <row r="140" s="27" customFormat="1" ht="14.1" customHeight="1" x14ac:dyDescent="0.2"/>
    <row r="141" s="27" customFormat="1" ht="14.1" customHeight="1" x14ac:dyDescent="0.2"/>
    <row r="142" s="27" customFormat="1" ht="14.1" customHeight="1" x14ac:dyDescent="0.2"/>
    <row r="143" s="27" customFormat="1" ht="14.1" customHeight="1" x14ac:dyDescent="0.2"/>
    <row r="144" s="27" customFormat="1" ht="14.1" customHeight="1" x14ac:dyDescent="0.2"/>
    <row r="145" s="27" customFormat="1" ht="14.1" customHeight="1" x14ac:dyDescent="0.2"/>
    <row r="146" s="27" customFormat="1" ht="14.1" customHeight="1" x14ac:dyDescent="0.2"/>
    <row r="147" s="27" customFormat="1" ht="14.1" customHeight="1" x14ac:dyDescent="0.2"/>
    <row r="148" s="27" customFormat="1" ht="14.1" customHeight="1" x14ac:dyDescent="0.2"/>
    <row r="149" s="27" customFormat="1" ht="14.1" customHeight="1" x14ac:dyDescent="0.2"/>
    <row r="150" s="27" customFormat="1" ht="14.1" customHeight="1" x14ac:dyDescent="0.2"/>
    <row r="151" s="27" customFormat="1" ht="14.1" customHeight="1" x14ac:dyDescent="0.2"/>
    <row r="152" s="27" customFormat="1" ht="14.1" customHeight="1" x14ac:dyDescent="0.2"/>
    <row r="153" s="27" customFormat="1" ht="14.1" customHeight="1" x14ac:dyDescent="0.2"/>
    <row r="154" s="27" customFormat="1" ht="14.1" customHeight="1" x14ac:dyDescent="0.2"/>
    <row r="155" s="27" customFormat="1" ht="14.1" customHeight="1" x14ac:dyDescent="0.2"/>
    <row r="156" s="27" customFormat="1" ht="14.1" customHeight="1" x14ac:dyDescent="0.2"/>
    <row r="157" s="27" customFormat="1" ht="14.1" customHeight="1" x14ac:dyDescent="0.2"/>
    <row r="158" s="27" customFormat="1" ht="14.1" customHeight="1" x14ac:dyDescent="0.2"/>
    <row r="159" s="27" customFormat="1" ht="14.1" customHeight="1" x14ac:dyDescent="0.2"/>
    <row r="160" s="27" customFormat="1" ht="14.1" customHeight="1" x14ac:dyDescent="0.2"/>
    <row r="161" s="27" customFormat="1" ht="14.1" customHeight="1" x14ac:dyDescent="0.2"/>
    <row r="162" s="27" customFormat="1" ht="14.1" customHeight="1" x14ac:dyDescent="0.2"/>
    <row r="163" s="27" customFormat="1" ht="14.1" customHeight="1" x14ac:dyDescent="0.2"/>
    <row r="164" s="27" customFormat="1" ht="14.1" customHeight="1" x14ac:dyDescent="0.2"/>
    <row r="165" s="27" customFormat="1" ht="14.1" customHeight="1" x14ac:dyDescent="0.2"/>
    <row r="166" s="27" customFormat="1" ht="14.1" customHeight="1" x14ac:dyDescent="0.2"/>
    <row r="167" s="27" customFormat="1" ht="14.1" customHeight="1" x14ac:dyDescent="0.2"/>
    <row r="168" s="27" customFormat="1" ht="14.1" customHeight="1" x14ac:dyDescent="0.2"/>
    <row r="169" s="27" customFormat="1" ht="14.1" customHeight="1" x14ac:dyDescent="0.2"/>
    <row r="170" s="27" customFormat="1" ht="14.1" customHeight="1" x14ac:dyDescent="0.2"/>
    <row r="171" s="27" customFormat="1" ht="14.1" customHeight="1" x14ac:dyDescent="0.2"/>
    <row r="172" s="27" customFormat="1" ht="14.1" customHeight="1" x14ac:dyDescent="0.2"/>
    <row r="173" s="27" customFormat="1" ht="14.1" customHeight="1" x14ac:dyDescent="0.2"/>
    <row r="174" s="27" customFormat="1" ht="14.1" customHeight="1" x14ac:dyDescent="0.2"/>
    <row r="175" s="27" customFormat="1" ht="14.1" customHeight="1" x14ac:dyDescent="0.2"/>
    <row r="176" s="27" customFormat="1" ht="14.1" customHeight="1" x14ac:dyDescent="0.2"/>
    <row r="177" s="27" customFormat="1" ht="14.1" customHeight="1" x14ac:dyDescent="0.2"/>
    <row r="178" s="27" customFormat="1" ht="14.1" customHeight="1" x14ac:dyDescent="0.2"/>
    <row r="179" s="27" customFormat="1" ht="14.1" customHeight="1" x14ac:dyDescent="0.2"/>
    <row r="180" s="27" customFormat="1" ht="14.1" customHeight="1" x14ac:dyDescent="0.2"/>
    <row r="181" s="27" customFormat="1" ht="14.1" customHeight="1" x14ac:dyDescent="0.2"/>
    <row r="182" s="27" customFormat="1" ht="14.1" customHeight="1" x14ac:dyDescent="0.2"/>
    <row r="183" s="27" customFormat="1" ht="14.1" customHeight="1" x14ac:dyDescent="0.2"/>
    <row r="184" s="27" customFormat="1" ht="14.1" customHeight="1" x14ac:dyDescent="0.2"/>
    <row r="185" s="27" customFormat="1" ht="14.1" customHeight="1" x14ac:dyDescent="0.2"/>
    <row r="186" s="27" customFormat="1" ht="14.1" customHeight="1" x14ac:dyDescent="0.2"/>
    <row r="187" s="27" customFormat="1" ht="14.1" customHeight="1" x14ac:dyDescent="0.2"/>
    <row r="188" s="27" customFormat="1" ht="14.1" customHeight="1" x14ac:dyDescent="0.2"/>
    <row r="189" s="27" customFormat="1" ht="14.1" customHeight="1" x14ac:dyDescent="0.2"/>
    <row r="190" s="27" customFormat="1" ht="14.1" customHeight="1" x14ac:dyDescent="0.2"/>
    <row r="191" s="27" customFormat="1" ht="14.1" customHeight="1" x14ac:dyDescent="0.2"/>
  </sheetData>
  <sheetProtection sheet="1" selectLockedCells="1"/>
  <mergeCells count="5">
    <mergeCell ref="B6:C6"/>
    <mergeCell ref="B8:C8"/>
    <mergeCell ref="N65:P65"/>
    <mergeCell ref="N83:O83"/>
    <mergeCell ref="N84:P84"/>
  </mergeCells>
  <pageMargins left="0.25" right="0.25" top="0.75" bottom="0.75" header="0.3" footer="0.3"/>
  <pageSetup paperSize="9" scale="46" fitToHeight="0" orientation="portrait" r:id="rId1"/>
  <headerFooter>
    <oddFooter>&amp;L&amp;A&amp;R&amp;P/&amp;N</oddFooter>
  </headerFooter>
  <rowBreaks count="1" manualBreakCount="1">
    <brk id="52" max="12" man="1"/>
  </rowBreaks>
  <colBreaks count="1" manualBreakCount="1">
    <brk id="8" max="121" man="1"/>
  </colBreak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2B08BA0-5452-4272-818C-B9672D624972}">
          <x14:formula1>
            <xm:f>'Osnovni podatki'!$B$6:$B$40</xm:f>
          </x14:formula1>
          <xm:sqref>D6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AA954-9113-4085-9EFB-DA8EE974A321}">
  <sheetPr>
    <tabColor rgb="FFFFFF00"/>
    <pageSetUpPr fitToPage="1"/>
  </sheetPr>
  <dimension ref="A1:Y191"/>
  <sheetViews>
    <sheetView showGridLines="0" view="pageBreakPreview" zoomScale="85" zoomScaleNormal="100" zoomScaleSheetLayoutView="85" workbookViewId="0">
      <selection activeCell="D11" sqref="D11"/>
    </sheetView>
  </sheetViews>
  <sheetFormatPr defaultColWidth="9.140625" defaultRowHeight="12.75" x14ac:dyDescent="0.2"/>
  <cols>
    <col min="1" max="1" width="4.85546875" style="27" customWidth="1"/>
    <col min="2" max="2" width="43.5703125" style="27" customWidth="1"/>
    <col min="3" max="3" width="15" style="27" customWidth="1"/>
    <col min="4" max="4" width="18.85546875" style="27" customWidth="1"/>
    <col min="5" max="8" width="15" style="27" customWidth="1"/>
    <col min="9" max="9" width="8.28515625" style="27" customWidth="1"/>
    <col min="10" max="10" width="14.7109375" style="27" customWidth="1"/>
    <col min="11" max="11" width="13.85546875" style="27" customWidth="1"/>
    <col min="12" max="12" width="15.5703125" style="27" customWidth="1"/>
    <col min="13" max="13" width="16.140625" style="27" customWidth="1"/>
    <col min="14" max="14" width="18.42578125" style="27" customWidth="1"/>
    <col min="15" max="15" width="14.7109375" style="27" bestFit="1" customWidth="1"/>
    <col min="16" max="16" width="9.140625" style="27" customWidth="1"/>
    <col min="17" max="24" width="9.140625" style="27"/>
    <col min="25" max="25" width="14.5703125" style="27" bestFit="1" customWidth="1"/>
    <col min="26" max="16384" width="9.140625" style="27"/>
  </cols>
  <sheetData>
    <row r="1" spans="2:13" ht="14.1" customHeight="1" x14ac:dyDescent="0.2">
      <c r="B1" s="11"/>
      <c r="E1" s="11"/>
    </row>
    <row r="2" spans="2:13" ht="28.35" customHeight="1" x14ac:dyDescent="0.2">
      <c r="B2" s="53" t="s">
        <v>31</v>
      </c>
    </row>
    <row r="3" spans="2:13" ht="14.1" customHeight="1" x14ac:dyDescent="0.2"/>
    <row r="4" spans="2:13" ht="19.7" customHeight="1" thickBot="1" x14ac:dyDescent="0.25">
      <c r="B4" s="55" t="s">
        <v>2</v>
      </c>
    </row>
    <row r="5" spans="2:13" ht="18" customHeight="1" x14ac:dyDescent="0.2">
      <c r="B5" s="1" t="s">
        <v>32</v>
      </c>
      <c r="C5" s="29"/>
      <c r="D5" s="30"/>
    </row>
    <row r="6" spans="2:13" ht="18" customHeight="1" x14ac:dyDescent="0.2">
      <c r="B6" s="352" t="s">
        <v>6</v>
      </c>
      <c r="C6" s="353"/>
      <c r="D6" s="28">
        <v>5</v>
      </c>
      <c r="H6" s="154"/>
      <c r="J6" s="154"/>
      <c r="K6" s="154"/>
    </row>
    <row r="7" spans="2:13" ht="18" customHeight="1" x14ac:dyDescent="0.2">
      <c r="B7" s="155" t="s">
        <v>7</v>
      </c>
      <c r="C7" s="156"/>
      <c r="D7" s="157" t="str">
        <f ca="1">MID(CELL("filename", A1), FIND("]", CELL("filename", A1)) + 1, LEN(CELL("filename", A1)) - FIND("]", CELL("filename", A1)))</f>
        <v>IS05</v>
      </c>
      <c r="H7" s="154"/>
      <c r="J7" s="154"/>
      <c r="K7" s="154"/>
    </row>
    <row r="8" spans="2:13" ht="30" customHeight="1" thickBot="1" x14ac:dyDescent="0.25">
      <c r="B8" s="354" t="s">
        <v>58</v>
      </c>
      <c r="C8" s="355"/>
      <c r="D8" s="158" t="str">
        <f>INDEX('Referenčne količine'!$B$4:$M$12,MATCH($B8,('Referenčne količine'!$B$4:$B$12),0),MATCH($D$6,'Referenčne količine'!$B$5:$M$5,0))</f>
        <v>SE Osnovna šola Artiče - črpališče</v>
      </c>
      <c r="H8" s="154"/>
      <c r="J8" s="154"/>
      <c r="K8" s="154"/>
    </row>
    <row r="9" spans="2:13" ht="18.75" customHeight="1" x14ac:dyDescent="0.25">
      <c r="B9" s="159" t="s">
        <v>215</v>
      </c>
      <c r="C9" s="160"/>
      <c r="D9" s="161"/>
      <c r="H9" s="154"/>
      <c r="J9"/>
      <c r="K9" s="162"/>
      <c r="L9"/>
      <c r="M9"/>
    </row>
    <row r="10" spans="2:13" ht="18.75" customHeight="1" x14ac:dyDescent="0.25">
      <c r="B10" s="163" t="s">
        <v>62</v>
      </c>
      <c r="C10" s="164" t="s">
        <v>60</v>
      </c>
      <c r="D10" s="165">
        <f>INDEX('Referenčne količine'!$B$9:$M$12,MATCH(B10,('Referenčne količine'!$B$9:$B$12),0),MATCH($D$6,'Referenčne količine'!$B$5:$M$5,0))</f>
        <v>14</v>
      </c>
      <c r="H10" s="154"/>
      <c r="J10"/>
      <c r="K10" s="162"/>
      <c r="L10"/>
      <c r="M10"/>
    </row>
    <row r="11" spans="2:13" ht="18.75" customHeight="1" x14ac:dyDescent="0.25">
      <c r="B11" s="163" t="s">
        <v>148</v>
      </c>
      <c r="C11" s="164" t="s">
        <v>46</v>
      </c>
      <c r="D11" s="80"/>
      <c r="H11" s="154"/>
      <c r="J11" s="162"/>
      <c r="K11" s="162"/>
      <c r="L11"/>
      <c r="M11"/>
    </row>
    <row r="12" spans="2:13" ht="18.75" customHeight="1" x14ac:dyDescent="0.25">
      <c r="B12" s="163" t="s">
        <v>64</v>
      </c>
      <c r="C12" s="164" t="s">
        <v>27</v>
      </c>
      <c r="D12" s="165">
        <f>INDEX('Referenčne količine'!$B$9:$M$12,MATCH(B12,('Referenčne količine'!$B$9:$B$12),0),MATCH($D$6,'Referenčne količine'!$B$5:$M$5,0))</f>
        <v>0</v>
      </c>
      <c r="J12"/>
      <c r="K12"/>
      <c r="L12"/>
      <c r="M12"/>
    </row>
    <row r="13" spans="2:13" ht="18.75" customHeight="1" x14ac:dyDescent="0.25">
      <c r="B13" s="163" t="s">
        <v>65</v>
      </c>
      <c r="C13" s="164" t="s">
        <v>61</v>
      </c>
      <c r="D13" s="165">
        <f>INDEX('Referenčne količine'!$B$9:$M$12,MATCH(B13,('Referenčne količine'!$B$9:$B$12),0),MATCH($D$6,'Referenčne količine'!$B$5:$M$5,0))</f>
        <v>0</v>
      </c>
      <c r="J13"/>
      <c r="K13"/>
      <c r="L13"/>
      <c r="M13"/>
    </row>
    <row r="14" spans="2:13" ht="18.75" customHeight="1" thickBot="1" x14ac:dyDescent="0.3">
      <c r="B14" s="166" t="s">
        <v>145</v>
      </c>
      <c r="C14" s="167" t="s">
        <v>27</v>
      </c>
      <c r="D14" s="153"/>
      <c r="J14"/>
      <c r="K14"/>
      <c r="L14"/>
      <c r="M14"/>
    </row>
    <row r="15" spans="2:13" ht="18.75" customHeight="1" x14ac:dyDescent="0.25">
      <c r="B15" s="168" t="s">
        <v>77</v>
      </c>
      <c r="C15" s="169"/>
      <c r="D15" s="170"/>
      <c r="J15"/>
      <c r="K15"/>
      <c r="L15"/>
      <c r="M15"/>
    </row>
    <row r="16" spans="2:13" ht="18.75" customHeight="1" x14ac:dyDescent="0.25">
      <c r="B16" s="171" t="s">
        <v>140</v>
      </c>
      <c r="C16" s="172" t="s">
        <v>141</v>
      </c>
      <c r="D16" s="28">
        <f>IFERROR(VLOOKUP(D$6,'Osnovni podatki'!$B$6:$I$41,7,FALSE),"")</f>
        <v>13.64</v>
      </c>
      <c r="J16"/>
      <c r="K16"/>
      <c r="L16"/>
      <c r="M16"/>
    </row>
    <row r="17" spans="2:13" ht="18.75" customHeight="1" x14ac:dyDescent="0.25">
      <c r="B17" s="171" t="s">
        <v>77</v>
      </c>
      <c r="C17" s="172" t="s">
        <v>28</v>
      </c>
      <c r="D17" s="78"/>
      <c r="G17" s="173"/>
      <c r="J17"/>
      <c r="K17"/>
      <c r="L17"/>
      <c r="M17"/>
    </row>
    <row r="18" spans="2:13" ht="18.75" customHeight="1" x14ac:dyDescent="0.25">
      <c r="B18" s="171" t="s">
        <v>79</v>
      </c>
      <c r="C18" s="172" t="s">
        <v>28</v>
      </c>
      <c r="D18" s="79">
        <f>D16*358</f>
        <v>4883.12</v>
      </c>
      <c r="J18"/>
      <c r="K18"/>
      <c r="L18"/>
      <c r="M18"/>
    </row>
    <row r="19" spans="2:13" ht="18.75" customHeight="1" x14ac:dyDescent="0.25">
      <c r="B19" s="174" t="s">
        <v>147</v>
      </c>
      <c r="C19" s="175" t="s">
        <v>146</v>
      </c>
      <c r="D19" s="91"/>
      <c r="J19"/>
      <c r="K19"/>
      <c r="L19"/>
      <c r="M19"/>
    </row>
    <row r="20" spans="2:13" ht="18.75" customHeight="1" x14ac:dyDescent="0.25">
      <c r="B20" s="174" t="s">
        <v>200</v>
      </c>
      <c r="C20" s="175" t="s">
        <v>28</v>
      </c>
      <c r="D20" s="176">
        <f>D17-D18-D21</f>
        <v>-4883.12</v>
      </c>
      <c r="J20"/>
      <c r="K20"/>
      <c r="L20"/>
      <c r="M20"/>
    </row>
    <row r="21" spans="2:13" ht="18.75" customHeight="1" thickBot="1" x14ac:dyDescent="0.3">
      <c r="B21" s="174" t="s">
        <v>202</v>
      </c>
      <c r="C21" s="175" t="s">
        <v>28</v>
      </c>
      <c r="D21" s="165">
        <f>D17*D19</f>
        <v>0</v>
      </c>
      <c r="J21"/>
      <c r="K21"/>
      <c r="L21"/>
      <c r="M21"/>
    </row>
    <row r="22" spans="2:13" ht="18.75" customHeight="1" x14ac:dyDescent="0.25">
      <c r="B22" s="177" t="s">
        <v>66</v>
      </c>
      <c r="C22" s="178"/>
      <c r="D22" s="179"/>
      <c r="J22"/>
      <c r="K22"/>
      <c r="L22"/>
      <c r="M22"/>
    </row>
    <row r="23" spans="2:13" ht="18.75" customHeight="1" x14ac:dyDescent="0.25">
      <c r="B23" s="180" t="s">
        <v>67</v>
      </c>
      <c r="C23" s="181" t="s">
        <v>60</v>
      </c>
      <c r="D23" s="85"/>
      <c r="J23"/>
      <c r="K23"/>
      <c r="L23"/>
      <c r="M23"/>
    </row>
    <row r="24" spans="2:13" ht="18.75" customHeight="1" x14ac:dyDescent="0.25">
      <c r="B24" s="182" t="s">
        <v>137</v>
      </c>
      <c r="C24" s="183" t="s">
        <v>60</v>
      </c>
      <c r="D24" s="80"/>
      <c r="J24"/>
      <c r="K24"/>
      <c r="L24"/>
      <c r="M24"/>
    </row>
    <row r="25" spans="2:13" ht="18.75" customHeight="1" x14ac:dyDescent="0.25">
      <c r="B25" s="182" t="s">
        <v>138</v>
      </c>
      <c r="C25" s="183" t="s">
        <v>60</v>
      </c>
      <c r="D25" s="80"/>
      <c r="J25"/>
      <c r="K25"/>
      <c r="L25"/>
      <c r="M25"/>
    </row>
    <row r="26" spans="2:13" ht="18.75" customHeight="1" thickBot="1" x14ac:dyDescent="0.3">
      <c r="B26" s="184" t="s">
        <v>198</v>
      </c>
      <c r="C26" s="185" t="s">
        <v>60</v>
      </c>
      <c r="D26" s="186">
        <f>D10-D24</f>
        <v>14</v>
      </c>
      <c r="J26"/>
      <c r="K26"/>
      <c r="L26"/>
      <c r="M26"/>
    </row>
    <row r="27" spans="2:13" ht="18.75" customHeight="1" x14ac:dyDescent="0.25">
      <c r="B27" s="187" t="s">
        <v>29</v>
      </c>
      <c r="C27" s="188"/>
      <c r="D27" s="189"/>
      <c r="J27"/>
      <c r="K27"/>
      <c r="L27"/>
      <c r="M27"/>
    </row>
    <row r="28" spans="2:13" ht="18.75" customHeight="1" x14ac:dyDescent="0.25">
      <c r="B28" s="190" t="s">
        <v>216</v>
      </c>
      <c r="C28" s="191" t="s">
        <v>197</v>
      </c>
      <c r="D28" s="84"/>
      <c r="J28"/>
      <c r="K28"/>
      <c r="L28"/>
      <c r="M28"/>
    </row>
    <row r="29" spans="2:13" ht="18.75" customHeight="1" thickBot="1" x14ac:dyDescent="0.3">
      <c r="B29" s="192" t="s">
        <v>76</v>
      </c>
      <c r="C29" s="193" t="s">
        <v>61</v>
      </c>
      <c r="D29" s="194">
        <f>D16*D28</f>
        <v>0</v>
      </c>
      <c r="J29"/>
      <c r="K29"/>
      <c r="L29"/>
      <c r="M29"/>
    </row>
    <row r="30" spans="2:13" ht="18.75" customHeight="1" x14ac:dyDescent="0.25">
      <c r="B30" s="195" t="s">
        <v>199</v>
      </c>
      <c r="C30" s="196"/>
      <c r="D30" s="197"/>
      <c r="J30"/>
      <c r="K30"/>
      <c r="L30"/>
      <c r="M30"/>
    </row>
    <row r="31" spans="2:13" ht="18.75" customHeight="1" thickBot="1" x14ac:dyDescent="0.3">
      <c r="B31" s="198" t="s">
        <v>143</v>
      </c>
      <c r="C31" s="199" t="s">
        <v>27</v>
      </c>
      <c r="D31" s="83"/>
      <c r="J31"/>
      <c r="K31"/>
      <c r="L31"/>
      <c r="M31"/>
    </row>
    <row r="32" spans="2:13" ht="18.75" customHeight="1" x14ac:dyDescent="0.2">
      <c r="B32" s="200" t="s">
        <v>203</v>
      </c>
      <c r="C32" s="201"/>
      <c r="D32" s="202"/>
    </row>
    <row r="33" spans="2:6" ht="18.75" customHeight="1" x14ac:dyDescent="0.2">
      <c r="B33" s="203" t="s">
        <v>30</v>
      </c>
      <c r="C33" s="204" t="s">
        <v>61</v>
      </c>
      <c r="D33" s="165">
        <f>D13</f>
        <v>0</v>
      </c>
      <c r="E33" s="154"/>
    </row>
    <row r="34" spans="2:6" ht="18.75" customHeight="1" thickBot="1" x14ac:dyDescent="0.25">
      <c r="B34" s="205" t="s">
        <v>144</v>
      </c>
      <c r="C34" s="206" t="s">
        <v>61</v>
      </c>
      <c r="D34" s="194">
        <f>D10*D31</f>
        <v>0</v>
      </c>
    </row>
    <row r="35" spans="2:6" ht="18.75" customHeight="1" x14ac:dyDescent="0.2">
      <c r="B35" s="207" t="s">
        <v>204</v>
      </c>
      <c r="C35" s="208"/>
      <c r="D35" s="209"/>
    </row>
    <row r="36" spans="2:6" ht="18.75" customHeight="1" x14ac:dyDescent="0.2">
      <c r="B36" s="210" t="s">
        <v>205</v>
      </c>
      <c r="C36" s="211" t="s">
        <v>60</v>
      </c>
      <c r="D36" s="165">
        <f>D23*D11</f>
        <v>0</v>
      </c>
    </row>
    <row r="37" spans="2:6" ht="18.75" customHeight="1" x14ac:dyDescent="0.2">
      <c r="B37" s="210" t="s">
        <v>206</v>
      </c>
      <c r="C37" s="211" t="s">
        <v>146</v>
      </c>
      <c r="D37" s="212" t="e">
        <f>D24/D23</f>
        <v>#DIV/0!</v>
      </c>
    </row>
    <row r="38" spans="2:6" ht="18.75" customHeight="1" x14ac:dyDescent="0.2">
      <c r="B38" s="210" t="s">
        <v>70</v>
      </c>
      <c r="C38" s="211" t="s">
        <v>27</v>
      </c>
      <c r="D38" s="165">
        <f>D31</f>
        <v>0</v>
      </c>
    </row>
    <row r="39" spans="2:6" ht="18.75" customHeight="1" x14ac:dyDescent="0.2">
      <c r="B39" s="210" t="s">
        <v>207</v>
      </c>
      <c r="C39" s="211" t="s">
        <v>208</v>
      </c>
      <c r="D39" s="213">
        <f>J60</f>
        <v>10</v>
      </c>
    </row>
    <row r="40" spans="2:6" ht="18.75" customHeight="1" thickBot="1" x14ac:dyDescent="0.25">
      <c r="B40" s="214" t="s">
        <v>210</v>
      </c>
      <c r="C40" s="215" t="s">
        <v>28</v>
      </c>
      <c r="D40" s="194">
        <f>D20</f>
        <v>-4883.12</v>
      </c>
      <c r="F40" s="154"/>
    </row>
    <row r="41" spans="2:6" ht="14.1" customHeight="1" x14ac:dyDescent="0.2">
      <c r="F41" s="154"/>
    </row>
    <row r="42" spans="2:6" ht="14.1" customHeight="1" x14ac:dyDescent="0.2">
      <c r="B42" s="216"/>
      <c r="F42" s="154"/>
    </row>
    <row r="43" spans="2:6" ht="14.1" customHeight="1" x14ac:dyDescent="0.2">
      <c r="B43" s="216" t="s">
        <v>209</v>
      </c>
    </row>
    <row r="44" spans="2:6" ht="14.1" customHeight="1" x14ac:dyDescent="0.2">
      <c r="B44" s="27" t="s">
        <v>211</v>
      </c>
    </row>
    <row r="45" spans="2:6" ht="14.1" customHeight="1" x14ac:dyDescent="0.2">
      <c r="B45" s="27" t="s">
        <v>212</v>
      </c>
    </row>
    <row r="46" spans="2:6" ht="14.1" customHeight="1" x14ac:dyDescent="0.2">
      <c r="B46" s="27" t="s">
        <v>213</v>
      </c>
    </row>
    <row r="47" spans="2:6" ht="14.1" customHeight="1" x14ac:dyDescent="0.2">
      <c r="B47" s="27" t="s">
        <v>214</v>
      </c>
    </row>
    <row r="48" spans="2:6" ht="14.1" customHeight="1" x14ac:dyDescent="0.2"/>
    <row r="49" spans="1:25" ht="14.1" customHeight="1" x14ac:dyDescent="0.2"/>
    <row r="50" spans="1:25" ht="14.1" customHeight="1" x14ac:dyDescent="0.2"/>
    <row r="51" spans="1:25" ht="14.1" customHeight="1" x14ac:dyDescent="0.2">
      <c r="N51" s="10"/>
      <c r="O51" s="10"/>
      <c r="P51" s="10"/>
    </row>
    <row r="52" spans="1:25" ht="14.1" customHeight="1" x14ac:dyDescent="0.2">
      <c r="N52" s="10"/>
      <c r="O52" s="10"/>
      <c r="P52" s="10"/>
    </row>
    <row r="53" spans="1:25" ht="17.100000000000001" customHeight="1" thickBot="1" x14ac:dyDescent="0.25">
      <c r="B53" s="55"/>
      <c r="N53" s="10"/>
      <c r="O53" s="10"/>
      <c r="P53" s="10"/>
    </row>
    <row r="54" spans="1:25" ht="17.100000000000001" customHeight="1" x14ac:dyDescent="0.2">
      <c r="B54" s="217" t="s">
        <v>43</v>
      </c>
      <c r="C54" s="218"/>
      <c r="D54" s="218"/>
      <c r="E54" s="219" t="s">
        <v>217</v>
      </c>
      <c r="F54" s="219" t="s">
        <v>201</v>
      </c>
      <c r="G54" s="220" t="s">
        <v>24</v>
      </c>
      <c r="N54" s="221"/>
      <c r="O54" s="221"/>
      <c r="P54" s="10"/>
      <c r="Y54" s="222"/>
    </row>
    <row r="55" spans="1:25" ht="17.100000000000001" customHeight="1" x14ac:dyDescent="0.25">
      <c r="A55"/>
      <c r="B55" s="223" t="s">
        <v>78</v>
      </c>
      <c r="C55" s="224"/>
      <c r="D55" s="225" t="s">
        <v>61</v>
      </c>
      <c r="E55" s="92">
        <f>D24*D12+D25*D14-D29</f>
        <v>0</v>
      </c>
      <c r="F55" s="92">
        <f>D33-D34</f>
        <v>0</v>
      </c>
      <c r="G55" s="56">
        <f>D31*D10-(D26*D12-D25*D14)-D16*D28</f>
        <v>0</v>
      </c>
      <c r="H55" s="154"/>
      <c r="N55" s="221"/>
      <c r="O55" s="221"/>
      <c r="P55" s="10"/>
      <c r="Y55" s="222"/>
    </row>
    <row r="56" spans="1:25" ht="14.1" customHeight="1" x14ac:dyDescent="0.25">
      <c r="A56"/>
      <c r="B56" s="226" t="s">
        <v>44</v>
      </c>
      <c r="C56" s="227"/>
      <c r="D56" s="225" t="s">
        <v>28</v>
      </c>
      <c r="E56" s="92">
        <f>D78</f>
        <v>0</v>
      </c>
      <c r="F56" s="92" t="e">
        <f>F55/E55*E56</f>
        <v>#DIV/0!</v>
      </c>
      <c r="G56" s="56" t="e">
        <f>G55/E55*E56</f>
        <v>#DIV/0!</v>
      </c>
      <c r="H56" s="154"/>
      <c r="N56" s="221"/>
      <c r="O56" s="221"/>
      <c r="P56" s="10"/>
      <c r="Y56" s="222"/>
    </row>
    <row r="57" spans="1:25" ht="17.100000000000001" customHeight="1" x14ac:dyDescent="0.25">
      <c r="A57"/>
      <c r="B57" s="226" t="s">
        <v>45</v>
      </c>
      <c r="C57" s="227"/>
      <c r="D57" s="225" t="s">
        <v>28</v>
      </c>
      <c r="E57" s="92">
        <f>M91</f>
        <v>0</v>
      </c>
      <c r="F57" s="92" t="e">
        <f>F55/E55*E57</f>
        <v>#DIV/0!</v>
      </c>
      <c r="G57" s="56" t="e">
        <f>G55/E55*E57</f>
        <v>#DIV/0!</v>
      </c>
      <c r="H57" s="154"/>
      <c r="N57" s="221"/>
      <c r="O57" s="221"/>
      <c r="P57" s="10"/>
      <c r="Y57" s="222"/>
    </row>
    <row r="58" spans="1:25" ht="17.100000000000001" customHeight="1" thickBot="1" x14ac:dyDescent="0.3">
      <c r="A58"/>
      <c r="B58" s="228" t="s">
        <v>80</v>
      </c>
      <c r="C58" s="229"/>
      <c r="D58" s="230" t="s">
        <v>28</v>
      </c>
      <c r="E58" s="93">
        <f>D17-D18</f>
        <v>-4883.12</v>
      </c>
      <c r="F58" s="93">
        <f>D20</f>
        <v>-4883.12</v>
      </c>
      <c r="G58" s="94">
        <f>D21</f>
        <v>0</v>
      </c>
      <c r="H58" s="154"/>
      <c r="N58" s="221"/>
      <c r="O58" s="221"/>
      <c r="P58" s="10"/>
      <c r="Y58" s="222"/>
    </row>
    <row r="59" spans="1:25" ht="30.75" thickBot="1" x14ac:dyDescent="0.3">
      <c r="A59"/>
      <c r="B59"/>
      <c r="C59"/>
      <c r="D59"/>
      <c r="E59"/>
      <c r="J59" s="231" t="s">
        <v>41</v>
      </c>
      <c r="K59" s="24" t="s">
        <v>42</v>
      </c>
      <c r="L59" s="25"/>
      <c r="M59" s="26"/>
      <c r="N59" s="221"/>
      <c r="O59" s="221"/>
      <c r="P59" s="10"/>
      <c r="Y59" s="222"/>
    </row>
    <row r="60" spans="1:25" ht="17.100000000000001" customHeight="1" thickBot="1" x14ac:dyDescent="0.3">
      <c r="A60"/>
      <c r="B60" s="55" t="s">
        <v>34</v>
      </c>
      <c r="E60"/>
      <c r="J60" s="54">
        <f>'IS01'!J60</f>
        <v>10</v>
      </c>
      <c r="K60" s="21" t="s">
        <v>36</v>
      </c>
      <c r="L60" s="22" t="s">
        <v>37</v>
      </c>
      <c r="M60" s="23" t="s">
        <v>38</v>
      </c>
      <c r="N60" s="10"/>
      <c r="O60" s="10"/>
      <c r="P60" s="10"/>
      <c r="Y60" s="216"/>
    </row>
    <row r="61" spans="1:25" ht="15.75" customHeight="1" x14ac:dyDescent="0.25">
      <c r="A61"/>
      <c r="B61" s="13" t="s">
        <v>35</v>
      </c>
      <c r="C61" s="14"/>
      <c r="D61" s="15"/>
      <c r="E61"/>
      <c r="K61" s="232">
        <f>IF($J$60&gt;0, 1, "")</f>
        <v>1</v>
      </c>
      <c r="L61" s="233">
        <f t="shared" ref="L61:L90" si="0">IF($J$60&gt;=K61,$E$55, "")</f>
        <v>0</v>
      </c>
      <c r="M61" s="57">
        <f t="shared" ref="M61:M90" si="1">IF($J$60&gt;=K61,L61/((1+$M$93)^K61), "0")</f>
        <v>0</v>
      </c>
      <c r="N61" s="10"/>
      <c r="O61" s="10"/>
      <c r="P61" s="10"/>
      <c r="Y61" s="216"/>
    </row>
    <row r="62" spans="1:25" ht="15.75" customHeight="1" x14ac:dyDescent="0.25">
      <c r="A62"/>
      <c r="B62" s="2" t="s">
        <v>36</v>
      </c>
      <c r="C62" s="3" t="s">
        <v>37</v>
      </c>
      <c r="D62" s="4" t="s">
        <v>38</v>
      </c>
      <c r="E62"/>
      <c r="K62" s="234">
        <f>IF($J$60&gt;K61, 2, "")</f>
        <v>2</v>
      </c>
      <c r="L62" s="235">
        <f t="shared" si="0"/>
        <v>0</v>
      </c>
      <c r="M62" s="58">
        <f t="shared" si="1"/>
        <v>0</v>
      </c>
      <c r="N62" s="10"/>
      <c r="O62" s="10"/>
      <c r="P62" s="10"/>
      <c r="Y62" s="216"/>
    </row>
    <row r="63" spans="1:25" ht="15.75" customHeight="1" x14ac:dyDescent="0.25">
      <c r="A63"/>
      <c r="B63" s="31">
        <v>1</v>
      </c>
      <c r="C63" s="47">
        <f t="shared" ref="C63:C77" si="2">$E$55</f>
        <v>0</v>
      </c>
      <c r="D63" s="48">
        <f t="shared" ref="D63:D77" si="3">C63/((1+$D$80)^B63)</f>
        <v>0</v>
      </c>
      <c r="E63" s="162"/>
      <c r="K63" s="234">
        <f>IF($J$60&gt;K62,3, "")</f>
        <v>3</v>
      </c>
      <c r="L63" s="235">
        <f t="shared" si="0"/>
        <v>0</v>
      </c>
      <c r="M63" s="58">
        <f t="shared" si="1"/>
        <v>0</v>
      </c>
      <c r="N63" s="236"/>
      <c r="O63" s="236"/>
      <c r="P63" s="10"/>
      <c r="Y63" s="237"/>
    </row>
    <row r="64" spans="1:25" ht="15.75" customHeight="1" x14ac:dyDescent="0.2">
      <c r="B64" s="31">
        <v>2</v>
      </c>
      <c r="C64" s="47">
        <f t="shared" si="2"/>
        <v>0</v>
      </c>
      <c r="D64" s="48">
        <f t="shared" si="3"/>
        <v>0</v>
      </c>
      <c r="E64" s="247"/>
      <c r="K64" s="234">
        <f>IF($J$60&gt;K63, 4, "")</f>
        <v>4</v>
      </c>
      <c r="L64" s="235">
        <f t="shared" si="0"/>
        <v>0</v>
      </c>
      <c r="M64" s="58">
        <f t="shared" si="1"/>
        <v>0</v>
      </c>
      <c r="N64" s="10"/>
      <c r="O64" s="10"/>
      <c r="P64" s="10"/>
    </row>
    <row r="65" spans="2:19" ht="15.75" customHeight="1" x14ac:dyDescent="0.2">
      <c r="B65" s="31">
        <v>3</v>
      </c>
      <c r="C65" s="47">
        <f t="shared" si="2"/>
        <v>0</v>
      </c>
      <c r="D65" s="48">
        <f t="shared" si="3"/>
        <v>0</v>
      </c>
      <c r="E65" s="247"/>
      <c r="K65" s="234">
        <f>IF($J$60&gt;K64, 5, "")</f>
        <v>5</v>
      </c>
      <c r="L65" s="235">
        <f t="shared" si="0"/>
        <v>0</v>
      </c>
      <c r="M65" s="58">
        <f t="shared" si="1"/>
        <v>0</v>
      </c>
      <c r="N65" s="351"/>
      <c r="O65" s="351"/>
      <c r="P65" s="351"/>
    </row>
    <row r="66" spans="2:19" ht="15.75" customHeight="1" x14ac:dyDescent="0.2">
      <c r="B66" s="31">
        <v>4</v>
      </c>
      <c r="C66" s="47">
        <f t="shared" si="2"/>
        <v>0</v>
      </c>
      <c r="D66" s="48">
        <f t="shared" si="3"/>
        <v>0</v>
      </c>
      <c r="E66" s="247"/>
      <c r="G66" s="59"/>
      <c r="K66" s="234">
        <f>IF($J$60&gt;K65, 6, "")</f>
        <v>6</v>
      </c>
      <c r="L66" s="235">
        <f t="shared" si="0"/>
        <v>0</v>
      </c>
      <c r="M66" s="58">
        <f t="shared" si="1"/>
        <v>0</v>
      </c>
      <c r="N66" s="10"/>
      <c r="O66" s="10"/>
      <c r="P66" s="10"/>
    </row>
    <row r="67" spans="2:19" ht="15.75" customHeight="1" x14ac:dyDescent="0.2">
      <c r="B67" s="31">
        <v>5</v>
      </c>
      <c r="C67" s="47">
        <f t="shared" si="2"/>
        <v>0</v>
      </c>
      <c r="D67" s="48">
        <f t="shared" si="3"/>
        <v>0</v>
      </c>
      <c r="E67" s="247"/>
      <c r="I67" s="10"/>
      <c r="K67" s="234">
        <f>IF($J$60&gt;K66, 7, "")</f>
        <v>7</v>
      </c>
      <c r="L67" s="235">
        <f t="shared" si="0"/>
        <v>0</v>
      </c>
      <c r="M67" s="58">
        <f t="shared" si="1"/>
        <v>0</v>
      </c>
      <c r="N67" s="10"/>
      <c r="O67" s="10"/>
      <c r="P67" s="10"/>
    </row>
    <row r="68" spans="2:19" ht="15.75" customHeight="1" x14ac:dyDescent="0.2">
      <c r="B68" s="31">
        <v>6</v>
      </c>
      <c r="C68" s="47">
        <f t="shared" si="2"/>
        <v>0</v>
      </c>
      <c r="D68" s="48">
        <f t="shared" si="3"/>
        <v>0</v>
      </c>
      <c r="E68" s="247"/>
      <c r="I68" s="10"/>
      <c r="K68" s="234">
        <f>IF($J$60&gt;K67, 8, "")</f>
        <v>8</v>
      </c>
      <c r="L68" s="235">
        <f t="shared" si="0"/>
        <v>0</v>
      </c>
      <c r="M68" s="58">
        <f t="shared" si="1"/>
        <v>0</v>
      </c>
      <c r="N68" s="10"/>
      <c r="O68" s="10"/>
      <c r="P68" s="10"/>
      <c r="Q68" s="10"/>
      <c r="R68" s="10"/>
      <c r="S68" s="10"/>
    </row>
    <row r="69" spans="2:19" ht="15.75" customHeight="1" x14ac:dyDescent="0.2">
      <c r="B69" s="31">
        <v>7</v>
      </c>
      <c r="C69" s="47">
        <f t="shared" si="2"/>
        <v>0</v>
      </c>
      <c r="D69" s="48">
        <f t="shared" si="3"/>
        <v>0</v>
      </c>
      <c r="E69" s="247"/>
      <c r="K69" s="234">
        <f>IF($J$60&gt;K68, 9, "")</f>
        <v>9</v>
      </c>
      <c r="L69" s="235">
        <f t="shared" si="0"/>
        <v>0</v>
      </c>
      <c r="M69" s="58">
        <f t="shared" si="1"/>
        <v>0</v>
      </c>
      <c r="N69" s="10"/>
      <c r="O69" s="10"/>
      <c r="P69" s="10"/>
      <c r="Q69" s="10"/>
      <c r="R69" s="10"/>
      <c r="S69" s="10"/>
    </row>
    <row r="70" spans="2:19" ht="15.75" customHeight="1" x14ac:dyDescent="0.2">
      <c r="B70" s="31">
        <v>8</v>
      </c>
      <c r="C70" s="47">
        <f t="shared" si="2"/>
        <v>0</v>
      </c>
      <c r="D70" s="48">
        <f t="shared" si="3"/>
        <v>0</v>
      </c>
      <c r="E70" s="247"/>
      <c r="K70" s="234">
        <f>IF($J$60&gt;K69, 10, "")</f>
        <v>10</v>
      </c>
      <c r="L70" s="235">
        <f t="shared" si="0"/>
        <v>0</v>
      </c>
      <c r="M70" s="58">
        <f t="shared" si="1"/>
        <v>0</v>
      </c>
      <c r="N70" s="10"/>
      <c r="O70" s="10"/>
      <c r="P70" s="10"/>
    </row>
    <row r="71" spans="2:19" ht="15.75" customHeight="1" x14ac:dyDescent="0.2">
      <c r="B71" s="31">
        <v>9</v>
      </c>
      <c r="C71" s="47">
        <f t="shared" si="2"/>
        <v>0</v>
      </c>
      <c r="D71" s="48">
        <f t="shared" si="3"/>
        <v>0</v>
      </c>
      <c r="E71" s="247"/>
      <c r="K71" s="234" t="str">
        <f>IF($J$60&gt;K70, 11, "")</f>
        <v/>
      </c>
      <c r="L71" s="235" t="str">
        <f t="shared" si="0"/>
        <v/>
      </c>
      <c r="M71" s="58" t="str">
        <f t="shared" si="1"/>
        <v>0</v>
      </c>
      <c r="N71" s="10"/>
      <c r="O71" s="10"/>
      <c r="P71" s="10"/>
    </row>
    <row r="72" spans="2:19" ht="15.75" customHeight="1" x14ac:dyDescent="0.2">
      <c r="B72" s="31">
        <v>10</v>
      </c>
      <c r="C72" s="47">
        <f t="shared" si="2"/>
        <v>0</v>
      </c>
      <c r="D72" s="48">
        <f t="shared" si="3"/>
        <v>0</v>
      </c>
      <c r="E72" s="247"/>
      <c r="K72" s="234" t="str">
        <f>IF($J$60&gt;K71, 12, "")</f>
        <v/>
      </c>
      <c r="L72" s="235" t="str">
        <f t="shared" si="0"/>
        <v/>
      </c>
      <c r="M72" s="58" t="str">
        <f t="shared" si="1"/>
        <v>0</v>
      </c>
      <c r="N72" s="10"/>
      <c r="O72" s="10"/>
      <c r="P72" s="10"/>
    </row>
    <row r="73" spans="2:19" ht="15.75" customHeight="1" x14ac:dyDescent="0.2">
      <c r="B73" s="31">
        <v>11</v>
      </c>
      <c r="C73" s="47">
        <f t="shared" si="2"/>
        <v>0</v>
      </c>
      <c r="D73" s="48">
        <f t="shared" si="3"/>
        <v>0</v>
      </c>
      <c r="E73" s="247"/>
      <c r="K73" s="234" t="str">
        <f>IF($J$60&gt;K72, 13, "")</f>
        <v/>
      </c>
      <c r="L73" s="235" t="str">
        <f t="shared" si="0"/>
        <v/>
      </c>
      <c r="M73" s="58" t="str">
        <f t="shared" si="1"/>
        <v>0</v>
      </c>
      <c r="N73" s="10"/>
      <c r="O73" s="10"/>
      <c r="P73" s="10"/>
    </row>
    <row r="74" spans="2:19" ht="15.75" customHeight="1" x14ac:dyDescent="0.2">
      <c r="B74" s="31">
        <v>12</v>
      </c>
      <c r="C74" s="47">
        <f t="shared" si="2"/>
        <v>0</v>
      </c>
      <c r="D74" s="48">
        <f t="shared" si="3"/>
        <v>0</v>
      </c>
      <c r="E74" s="247"/>
      <c r="K74" s="234" t="str">
        <f>IF($J$60&gt;K73, 14, "")</f>
        <v/>
      </c>
      <c r="L74" s="235" t="str">
        <f t="shared" si="0"/>
        <v/>
      </c>
      <c r="M74" s="58" t="str">
        <f t="shared" si="1"/>
        <v>0</v>
      </c>
      <c r="N74" s="10"/>
      <c r="O74" s="10"/>
      <c r="P74" s="10"/>
    </row>
    <row r="75" spans="2:19" ht="15.75" customHeight="1" x14ac:dyDescent="0.2">
      <c r="B75" s="31">
        <v>13</v>
      </c>
      <c r="C75" s="47">
        <f t="shared" si="2"/>
        <v>0</v>
      </c>
      <c r="D75" s="48">
        <f t="shared" si="3"/>
        <v>0</v>
      </c>
      <c r="E75" s="247"/>
      <c r="K75" s="234" t="str">
        <f>IF($J$60&gt;K74, 15, "")</f>
        <v/>
      </c>
      <c r="L75" s="235" t="str">
        <f t="shared" si="0"/>
        <v/>
      </c>
      <c r="M75" s="58" t="str">
        <f t="shared" si="1"/>
        <v>0</v>
      </c>
      <c r="N75" s="10"/>
      <c r="O75" s="10"/>
      <c r="P75" s="10"/>
    </row>
    <row r="76" spans="2:19" ht="15.75" customHeight="1" x14ac:dyDescent="0.25">
      <c r="B76" s="31">
        <v>14</v>
      </c>
      <c r="C76" s="47">
        <f t="shared" si="2"/>
        <v>0</v>
      </c>
      <c r="D76" s="48">
        <f t="shared" si="3"/>
        <v>0</v>
      </c>
      <c r="E76" s="247"/>
      <c r="G76"/>
      <c r="K76" s="234" t="str">
        <f>IF($J$60&gt;K75, 16, "")</f>
        <v/>
      </c>
      <c r="L76" s="235" t="str">
        <f t="shared" si="0"/>
        <v/>
      </c>
      <c r="M76" s="58" t="str">
        <f t="shared" si="1"/>
        <v>0</v>
      </c>
      <c r="N76" s="10"/>
      <c r="O76" s="10"/>
      <c r="P76" s="10"/>
    </row>
    <row r="77" spans="2:19" ht="15.75" customHeight="1" x14ac:dyDescent="0.25">
      <c r="B77" s="31">
        <v>15</v>
      </c>
      <c r="C77" s="47">
        <f t="shared" si="2"/>
        <v>0</v>
      </c>
      <c r="D77" s="48">
        <f t="shared" si="3"/>
        <v>0</v>
      </c>
      <c r="E77" s="247"/>
      <c r="G77"/>
      <c r="K77" s="234" t="str">
        <f>IF($J$60&gt;K76, 17, "")</f>
        <v/>
      </c>
      <c r="L77" s="235" t="str">
        <f t="shared" si="0"/>
        <v/>
      </c>
      <c r="M77" s="58" t="str">
        <f t="shared" si="1"/>
        <v>0</v>
      </c>
      <c r="N77" s="10"/>
      <c r="O77" s="10"/>
      <c r="P77" s="10"/>
    </row>
    <row r="78" spans="2:19" ht="15.75" customHeight="1" thickBot="1" x14ac:dyDescent="0.3">
      <c r="B78" s="12" t="s">
        <v>39</v>
      </c>
      <c r="C78" s="51">
        <f>SUM(C63:C77)</f>
        <v>0</v>
      </c>
      <c r="D78" s="52">
        <f>SUM(D63:D77)</f>
        <v>0</v>
      </c>
      <c r="E78" s="162"/>
      <c r="F78" s="238"/>
      <c r="G78" s="238"/>
      <c r="K78" s="234" t="str">
        <f>IF($J$60&gt;K77, 18, "")</f>
        <v/>
      </c>
      <c r="L78" s="235" t="str">
        <f t="shared" si="0"/>
        <v/>
      </c>
      <c r="M78" s="58" t="str">
        <f t="shared" si="1"/>
        <v>0</v>
      </c>
      <c r="N78" s="10"/>
      <c r="O78" s="10"/>
      <c r="P78" s="10"/>
    </row>
    <row r="79" spans="2:19" ht="15.75" customHeight="1" x14ac:dyDescent="0.25">
      <c r="B79" s="239"/>
      <c r="C79" s="240"/>
      <c r="D79" s="241"/>
      <c r="E79"/>
      <c r="F79"/>
      <c r="G79"/>
      <c r="K79" s="234" t="str">
        <f>IF($J$60&gt;K78, 19, "")</f>
        <v/>
      </c>
      <c r="L79" s="235" t="str">
        <f t="shared" si="0"/>
        <v/>
      </c>
      <c r="M79" s="58" t="str">
        <f t="shared" si="1"/>
        <v>0</v>
      </c>
      <c r="N79" s="10"/>
      <c r="O79" s="10"/>
      <c r="P79" s="10"/>
    </row>
    <row r="80" spans="2:19" ht="15.75" customHeight="1" thickBot="1" x14ac:dyDescent="0.3">
      <c r="B80" s="242" t="s">
        <v>40</v>
      </c>
      <c r="C80" s="243"/>
      <c r="D80" s="60">
        <v>0.04</v>
      </c>
      <c r="E80"/>
      <c r="F80"/>
      <c r="G80" s="238"/>
      <c r="K80" s="234" t="str">
        <f>IF($J$60&gt;K79, 20, "")</f>
        <v/>
      </c>
      <c r="L80" s="235" t="str">
        <f t="shared" si="0"/>
        <v/>
      </c>
      <c r="M80" s="58" t="str">
        <f t="shared" si="1"/>
        <v>0</v>
      </c>
      <c r="N80" s="10"/>
      <c r="O80" s="10"/>
      <c r="P80" s="10"/>
      <c r="Q80" s="10"/>
      <c r="R80" s="10"/>
      <c r="S80" s="10"/>
    </row>
    <row r="81" spans="1:19" ht="15.75" customHeight="1" x14ac:dyDescent="0.25">
      <c r="B81"/>
      <c r="C81"/>
      <c r="D81"/>
      <c r="E81"/>
      <c r="F81"/>
      <c r="G81"/>
      <c r="K81" s="234" t="str">
        <f>IF($J$60&gt;K80, 21, "")</f>
        <v/>
      </c>
      <c r="L81" s="235" t="str">
        <f t="shared" si="0"/>
        <v/>
      </c>
      <c r="M81" s="58" t="str">
        <f t="shared" si="1"/>
        <v>0</v>
      </c>
      <c r="N81" s="10"/>
      <c r="O81" s="10"/>
      <c r="P81" s="10"/>
      <c r="Q81" s="10"/>
      <c r="R81" s="10"/>
      <c r="S81" s="10"/>
    </row>
    <row r="82" spans="1:19" ht="15.75" customHeight="1" x14ac:dyDescent="0.25">
      <c r="B82"/>
      <c r="C82"/>
      <c r="D82"/>
      <c r="E82"/>
      <c r="F82"/>
      <c r="G82"/>
      <c r="K82" s="234" t="str">
        <f>IF($J$60&gt;K81, 22, "")</f>
        <v/>
      </c>
      <c r="L82" s="235" t="str">
        <f t="shared" si="0"/>
        <v/>
      </c>
      <c r="M82" s="58" t="str">
        <f t="shared" si="1"/>
        <v>0</v>
      </c>
      <c r="N82" s="10"/>
      <c r="O82" s="10"/>
      <c r="P82" s="10"/>
    </row>
    <row r="83" spans="1:19" ht="15.75" customHeight="1" x14ac:dyDescent="0.25">
      <c r="B83"/>
      <c r="C83"/>
      <c r="D83"/>
      <c r="E83"/>
      <c r="F83"/>
      <c r="G83"/>
      <c r="K83" s="234" t="str">
        <f>IF($J$60&gt;K82, 23, "")</f>
        <v/>
      </c>
      <c r="L83" s="235" t="str">
        <f t="shared" si="0"/>
        <v/>
      </c>
      <c r="M83" s="58" t="str">
        <f t="shared" si="1"/>
        <v>0</v>
      </c>
      <c r="N83" s="351"/>
      <c r="O83" s="351"/>
      <c r="P83" s="10"/>
    </row>
    <row r="84" spans="1:19" ht="15.75" customHeight="1" x14ac:dyDescent="0.25">
      <c r="B84"/>
      <c r="C84"/>
      <c r="D84"/>
      <c r="E84"/>
      <c r="F84"/>
      <c r="G84"/>
      <c r="K84" s="234" t="str">
        <f>IF($J$60&gt;K83, 24, "")</f>
        <v/>
      </c>
      <c r="L84" s="235" t="str">
        <f t="shared" si="0"/>
        <v/>
      </c>
      <c r="M84" s="58" t="str">
        <f t="shared" si="1"/>
        <v>0</v>
      </c>
      <c r="N84" s="351"/>
      <c r="O84" s="351"/>
      <c r="P84" s="351"/>
    </row>
    <row r="85" spans="1:19" ht="15.75" customHeight="1" x14ac:dyDescent="0.25">
      <c r="B85"/>
      <c r="C85"/>
      <c r="D85"/>
      <c r="E85"/>
      <c r="F85"/>
      <c r="G85"/>
      <c r="K85" s="234" t="str">
        <f>IF($J$60&gt;K84, 25, "")</f>
        <v/>
      </c>
      <c r="L85" s="235" t="str">
        <f t="shared" si="0"/>
        <v/>
      </c>
      <c r="M85" s="58" t="str">
        <f t="shared" si="1"/>
        <v>0</v>
      </c>
      <c r="N85" s="10"/>
      <c r="O85" s="10"/>
      <c r="P85" s="10"/>
    </row>
    <row r="86" spans="1:19" ht="15.75" customHeight="1" x14ac:dyDescent="0.25">
      <c r="B86"/>
      <c r="C86"/>
      <c r="D86"/>
      <c r="E86"/>
      <c r="F86"/>
      <c r="G86"/>
      <c r="K86" s="234" t="str">
        <f>IF($J$60&gt;K85, 26, "")</f>
        <v/>
      </c>
      <c r="L86" s="235" t="str">
        <f>IF($J$60&gt;=K86,$E$55, "")</f>
        <v/>
      </c>
      <c r="M86" s="58" t="str">
        <f t="shared" si="1"/>
        <v>0</v>
      </c>
      <c r="N86" s="10"/>
      <c r="O86" s="10"/>
      <c r="P86" s="10"/>
    </row>
    <row r="87" spans="1:19" ht="15.75" customHeight="1" x14ac:dyDescent="0.25">
      <c r="A87"/>
      <c r="B87"/>
      <c r="C87"/>
      <c r="D87"/>
      <c r="E87"/>
      <c r="F87"/>
      <c r="G87"/>
      <c r="K87" s="234" t="str">
        <f>IF($J$60&gt;K86, 27, "")</f>
        <v/>
      </c>
      <c r="L87" s="235" t="str">
        <f t="shared" si="0"/>
        <v/>
      </c>
      <c r="M87" s="58" t="str">
        <f t="shared" si="1"/>
        <v>0</v>
      </c>
    </row>
    <row r="88" spans="1:19" ht="15.75" customHeight="1" x14ac:dyDescent="0.25">
      <c r="A88"/>
      <c r="B88"/>
      <c r="C88"/>
      <c r="D88"/>
      <c r="E88"/>
      <c r="F88"/>
      <c r="K88" s="234" t="str">
        <f>IF($J$60&gt;K87, 28, "")</f>
        <v/>
      </c>
      <c r="L88" s="235" t="str">
        <f t="shared" si="0"/>
        <v/>
      </c>
      <c r="M88" s="58" t="str">
        <f t="shared" si="1"/>
        <v>0</v>
      </c>
    </row>
    <row r="89" spans="1:19" ht="15.75" customHeight="1" x14ac:dyDescent="0.25">
      <c r="A89"/>
      <c r="B89"/>
      <c r="C89"/>
      <c r="D89"/>
      <c r="E89"/>
      <c r="F89"/>
      <c r="K89" s="234" t="str">
        <f>IF($J$60&gt;K88, 29, "")</f>
        <v/>
      </c>
      <c r="L89" s="235" t="str">
        <f t="shared" si="0"/>
        <v/>
      </c>
      <c r="M89" s="58" t="str">
        <f t="shared" si="1"/>
        <v>0</v>
      </c>
    </row>
    <row r="90" spans="1:19" ht="15.75" customHeight="1" x14ac:dyDescent="0.25">
      <c r="A90"/>
      <c r="B90"/>
      <c r="C90"/>
      <c r="D90"/>
      <c r="E90"/>
      <c r="F90"/>
      <c r="K90" s="234" t="str">
        <f>IF($J$60&gt;K89, 30, "")</f>
        <v/>
      </c>
      <c r="L90" s="235" t="str">
        <f t="shared" si="0"/>
        <v/>
      </c>
      <c r="M90" s="58" t="str">
        <f t="shared" si="1"/>
        <v>0</v>
      </c>
    </row>
    <row r="91" spans="1:19" ht="15.75" customHeight="1" x14ac:dyDescent="0.25">
      <c r="A91"/>
      <c r="B91"/>
      <c r="C91"/>
      <c r="D91"/>
      <c r="E91"/>
      <c r="F91"/>
      <c r="K91" s="2" t="s">
        <v>39</v>
      </c>
      <c r="L91" s="49">
        <f>SUM(L61:L90)</f>
        <v>0</v>
      </c>
      <c r="M91" s="50">
        <f>SUM(M61:M80)</f>
        <v>0</v>
      </c>
    </row>
    <row r="92" spans="1:19" ht="15.75" customHeight="1" x14ac:dyDescent="0.25">
      <c r="A92"/>
      <c r="B92"/>
      <c r="C92"/>
      <c r="D92"/>
      <c r="E92"/>
      <c r="F92"/>
      <c r="K92" s="245"/>
      <c r="L92" s="246"/>
      <c r="M92" s="28"/>
    </row>
    <row r="93" spans="1:19" ht="15.75" customHeight="1" thickBot="1" x14ac:dyDescent="0.3">
      <c r="A93"/>
      <c r="B93"/>
      <c r="C93"/>
      <c r="D93"/>
      <c r="E93"/>
      <c r="F93"/>
      <c r="K93" s="242" t="s">
        <v>40</v>
      </c>
      <c r="L93" s="243"/>
      <c r="M93" s="60">
        <v>0.04</v>
      </c>
    </row>
    <row r="94" spans="1:19" ht="15" x14ac:dyDescent="0.25">
      <c r="A94"/>
      <c r="B94"/>
      <c r="C94"/>
      <c r="D94"/>
      <c r="E94"/>
      <c r="F94"/>
    </row>
    <row r="95" spans="1:19" ht="14.1" customHeight="1" x14ac:dyDescent="0.2"/>
    <row r="96" spans="1:19" ht="14.1" customHeight="1" x14ac:dyDescent="0.2"/>
    <row r="97" s="27" customFormat="1" ht="14.1" customHeight="1" x14ac:dyDescent="0.2"/>
    <row r="98" s="27" customFormat="1" ht="14.1" customHeight="1" x14ac:dyDescent="0.2"/>
    <row r="99" s="27" customFormat="1" ht="14.1" customHeight="1" x14ac:dyDescent="0.2"/>
    <row r="100" s="27" customFormat="1" ht="14.1" customHeight="1" x14ac:dyDescent="0.2"/>
    <row r="101" s="27" customFormat="1" ht="14.1" customHeight="1" x14ac:dyDescent="0.2"/>
    <row r="102" s="27" customFormat="1" ht="14.1" customHeight="1" x14ac:dyDescent="0.2"/>
    <row r="103" s="27" customFormat="1" ht="14.1" customHeight="1" x14ac:dyDescent="0.2"/>
    <row r="104" s="27" customFormat="1" ht="14.1" customHeight="1" x14ac:dyDescent="0.2"/>
    <row r="105" s="27" customFormat="1" ht="14.1" customHeight="1" x14ac:dyDescent="0.2"/>
    <row r="106" s="27" customFormat="1" ht="14.1" customHeight="1" x14ac:dyDescent="0.2"/>
    <row r="107" s="27" customFormat="1" ht="14.1" customHeight="1" x14ac:dyDescent="0.2"/>
    <row r="108" s="27" customFormat="1" ht="14.1" customHeight="1" x14ac:dyDescent="0.2"/>
    <row r="109" s="27" customFormat="1" ht="14.1" customHeight="1" x14ac:dyDescent="0.2"/>
    <row r="110" s="27" customFormat="1" ht="14.1" customHeight="1" x14ac:dyDescent="0.2"/>
    <row r="111" s="27" customFormat="1" ht="14.1" customHeight="1" x14ac:dyDescent="0.2"/>
    <row r="112" s="27" customFormat="1" ht="14.1" customHeight="1" x14ac:dyDescent="0.2"/>
    <row r="113" s="27" customFormat="1" ht="14.1" customHeight="1" x14ac:dyDescent="0.2"/>
    <row r="114" s="27" customFormat="1" ht="14.1" customHeight="1" x14ac:dyDescent="0.2"/>
    <row r="115" s="27" customFormat="1" ht="14.1" customHeight="1" x14ac:dyDescent="0.2"/>
    <row r="116" s="27" customFormat="1" ht="14.1" customHeight="1" x14ac:dyDescent="0.2"/>
    <row r="117" s="27" customFormat="1" ht="14.1" customHeight="1" x14ac:dyDescent="0.2"/>
    <row r="118" s="27" customFormat="1" ht="14.1" customHeight="1" x14ac:dyDescent="0.2"/>
    <row r="119" s="27" customFormat="1" ht="14.1" customHeight="1" x14ac:dyDescent="0.2"/>
    <row r="120" s="27" customFormat="1" ht="14.1" customHeight="1" x14ac:dyDescent="0.2"/>
    <row r="121" s="27" customFormat="1" ht="14.1" customHeight="1" x14ac:dyDescent="0.2"/>
    <row r="122" s="27" customFormat="1" ht="14.1" customHeight="1" x14ac:dyDescent="0.2"/>
    <row r="123" s="27" customFormat="1" ht="14.1" customHeight="1" x14ac:dyDescent="0.2"/>
    <row r="124" s="27" customFormat="1" ht="14.1" customHeight="1" x14ac:dyDescent="0.2"/>
    <row r="125" s="27" customFormat="1" ht="14.1" customHeight="1" x14ac:dyDescent="0.2"/>
    <row r="126" s="27" customFormat="1" ht="14.1" customHeight="1" x14ac:dyDescent="0.2"/>
    <row r="127" s="27" customFormat="1" ht="14.1" customHeight="1" x14ac:dyDescent="0.2"/>
    <row r="128" s="27" customFormat="1" ht="14.1" customHeight="1" x14ac:dyDescent="0.2"/>
    <row r="129" s="27" customFormat="1" ht="14.1" customHeight="1" x14ac:dyDescent="0.2"/>
    <row r="130" s="27" customFormat="1" ht="14.1" customHeight="1" x14ac:dyDescent="0.2"/>
    <row r="131" s="27" customFormat="1" ht="14.1" customHeight="1" x14ac:dyDescent="0.2"/>
    <row r="132" s="27" customFormat="1" ht="14.1" customHeight="1" x14ac:dyDescent="0.2"/>
    <row r="133" s="27" customFormat="1" ht="14.1" customHeight="1" x14ac:dyDescent="0.2"/>
    <row r="134" s="27" customFormat="1" ht="14.1" customHeight="1" x14ac:dyDescent="0.2"/>
    <row r="135" s="27" customFormat="1" ht="14.1" customHeight="1" x14ac:dyDescent="0.2"/>
    <row r="136" s="27" customFormat="1" ht="14.1" customHeight="1" x14ac:dyDescent="0.2"/>
    <row r="137" s="27" customFormat="1" ht="14.1" customHeight="1" x14ac:dyDescent="0.2"/>
    <row r="138" s="27" customFormat="1" ht="14.1" customHeight="1" x14ac:dyDescent="0.2"/>
    <row r="139" s="27" customFormat="1" ht="14.1" customHeight="1" x14ac:dyDescent="0.2"/>
    <row r="140" s="27" customFormat="1" ht="14.1" customHeight="1" x14ac:dyDescent="0.2"/>
    <row r="141" s="27" customFormat="1" ht="14.1" customHeight="1" x14ac:dyDescent="0.2"/>
    <row r="142" s="27" customFormat="1" ht="14.1" customHeight="1" x14ac:dyDescent="0.2"/>
    <row r="143" s="27" customFormat="1" ht="14.1" customHeight="1" x14ac:dyDescent="0.2"/>
    <row r="144" s="27" customFormat="1" ht="14.1" customHeight="1" x14ac:dyDescent="0.2"/>
    <row r="145" s="27" customFormat="1" ht="14.1" customHeight="1" x14ac:dyDescent="0.2"/>
    <row r="146" s="27" customFormat="1" ht="14.1" customHeight="1" x14ac:dyDescent="0.2"/>
    <row r="147" s="27" customFormat="1" ht="14.1" customHeight="1" x14ac:dyDescent="0.2"/>
    <row r="148" s="27" customFormat="1" ht="14.1" customHeight="1" x14ac:dyDescent="0.2"/>
    <row r="149" s="27" customFormat="1" ht="14.1" customHeight="1" x14ac:dyDescent="0.2"/>
    <row r="150" s="27" customFormat="1" ht="14.1" customHeight="1" x14ac:dyDescent="0.2"/>
    <row r="151" s="27" customFormat="1" ht="14.1" customHeight="1" x14ac:dyDescent="0.2"/>
    <row r="152" s="27" customFormat="1" ht="14.1" customHeight="1" x14ac:dyDescent="0.2"/>
    <row r="153" s="27" customFormat="1" ht="14.1" customHeight="1" x14ac:dyDescent="0.2"/>
    <row r="154" s="27" customFormat="1" ht="14.1" customHeight="1" x14ac:dyDescent="0.2"/>
    <row r="155" s="27" customFormat="1" ht="14.1" customHeight="1" x14ac:dyDescent="0.2"/>
    <row r="156" s="27" customFormat="1" ht="14.1" customHeight="1" x14ac:dyDescent="0.2"/>
    <row r="157" s="27" customFormat="1" ht="14.1" customHeight="1" x14ac:dyDescent="0.2"/>
    <row r="158" s="27" customFormat="1" ht="14.1" customHeight="1" x14ac:dyDescent="0.2"/>
    <row r="159" s="27" customFormat="1" ht="14.1" customHeight="1" x14ac:dyDescent="0.2"/>
    <row r="160" s="27" customFormat="1" ht="14.1" customHeight="1" x14ac:dyDescent="0.2"/>
    <row r="161" s="27" customFormat="1" ht="14.1" customHeight="1" x14ac:dyDescent="0.2"/>
    <row r="162" s="27" customFormat="1" ht="14.1" customHeight="1" x14ac:dyDescent="0.2"/>
    <row r="163" s="27" customFormat="1" ht="14.1" customHeight="1" x14ac:dyDescent="0.2"/>
    <row r="164" s="27" customFormat="1" ht="14.1" customHeight="1" x14ac:dyDescent="0.2"/>
    <row r="165" s="27" customFormat="1" ht="14.1" customHeight="1" x14ac:dyDescent="0.2"/>
    <row r="166" s="27" customFormat="1" ht="14.1" customHeight="1" x14ac:dyDescent="0.2"/>
    <row r="167" s="27" customFormat="1" ht="14.1" customHeight="1" x14ac:dyDescent="0.2"/>
    <row r="168" s="27" customFormat="1" ht="14.1" customHeight="1" x14ac:dyDescent="0.2"/>
    <row r="169" s="27" customFormat="1" ht="14.1" customHeight="1" x14ac:dyDescent="0.2"/>
    <row r="170" s="27" customFormat="1" ht="14.1" customHeight="1" x14ac:dyDescent="0.2"/>
    <row r="171" s="27" customFormat="1" ht="14.1" customHeight="1" x14ac:dyDescent="0.2"/>
    <row r="172" s="27" customFormat="1" ht="14.1" customHeight="1" x14ac:dyDescent="0.2"/>
    <row r="173" s="27" customFormat="1" ht="14.1" customHeight="1" x14ac:dyDescent="0.2"/>
    <row r="174" s="27" customFormat="1" ht="14.1" customHeight="1" x14ac:dyDescent="0.2"/>
    <row r="175" s="27" customFormat="1" ht="14.1" customHeight="1" x14ac:dyDescent="0.2"/>
    <row r="176" s="27" customFormat="1" ht="14.1" customHeight="1" x14ac:dyDescent="0.2"/>
    <row r="177" s="27" customFormat="1" ht="14.1" customHeight="1" x14ac:dyDescent="0.2"/>
    <row r="178" s="27" customFormat="1" ht="14.1" customHeight="1" x14ac:dyDescent="0.2"/>
    <row r="179" s="27" customFormat="1" ht="14.1" customHeight="1" x14ac:dyDescent="0.2"/>
    <row r="180" s="27" customFormat="1" ht="14.1" customHeight="1" x14ac:dyDescent="0.2"/>
    <row r="181" s="27" customFormat="1" ht="14.1" customHeight="1" x14ac:dyDescent="0.2"/>
    <row r="182" s="27" customFormat="1" ht="14.1" customHeight="1" x14ac:dyDescent="0.2"/>
    <row r="183" s="27" customFormat="1" ht="14.1" customHeight="1" x14ac:dyDescent="0.2"/>
    <row r="184" s="27" customFormat="1" ht="14.1" customHeight="1" x14ac:dyDescent="0.2"/>
    <row r="185" s="27" customFormat="1" ht="14.1" customHeight="1" x14ac:dyDescent="0.2"/>
    <row r="186" s="27" customFormat="1" ht="14.1" customHeight="1" x14ac:dyDescent="0.2"/>
    <row r="187" s="27" customFormat="1" ht="14.1" customHeight="1" x14ac:dyDescent="0.2"/>
    <row r="188" s="27" customFormat="1" ht="14.1" customHeight="1" x14ac:dyDescent="0.2"/>
    <row r="189" s="27" customFormat="1" ht="14.1" customHeight="1" x14ac:dyDescent="0.2"/>
    <row r="190" s="27" customFormat="1" ht="14.1" customHeight="1" x14ac:dyDescent="0.2"/>
    <row r="191" s="27" customFormat="1" ht="14.1" customHeight="1" x14ac:dyDescent="0.2"/>
  </sheetData>
  <sheetProtection sheet="1" selectLockedCells="1"/>
  <mergeCells count="5">
    <mergeCell ref="B6:C6"/>
    <mergeCell ref="B8:C8"/>
    <mergeCell ref="N65:P65"/>
    <mergeCell ref="N83:O83"/>
    <mergeCell ref="N84:P84"/>
  </mergeCells>
  <pageMargins left="0.25" right="0.25" top="0.75" bottom="0.75" header="0.3" footer="0.3"/>
  <pageSetup paperSize="9" scale="46" fitToHeight="0" orientation="portrait" r:id="rId1"/>
  <headerFooter>
    <oddFooter>&amp;L&amp;A&amp;R&amp;P/&amp;N</oddFooter>
  </headerFooter>
  <rowBreaks count="1" manualBreakCount="1">
    <brk id="52" max="12" man="1"/>
  </rowBreaks>
  <colBreaks count="1" manualBreakCount="1">
    <brk id="8" max="121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043CEA-01DE-4B9D-A697-A68FFC8536B2}">
          <x14:formula1>
            <xm:f>'Osnovni podatki'!$B$6:$B$40</xm:f>
          </x14:formula1>
          <xm:sqref>D6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8f063a8-c783-4140-9dfc-ce6c2278cd46">RESALTA-1806727522-220070</_dlc_DocId>
    <_dlc_DocIdUrl xmlns="e8f063a8-c783-4140-9dfc-ce6c2278cd46">
      <Url>https://ggedoo.sharepoint.com/development/_layouts/15/DocIdRedir.aspx?ID=RESALTA-1806727522-220070</Url>
      <Description>RESALTA-1806727522-220070</Description>
    </_dlc_DocIdUrl>
    <TaxCatchAll xmlns="e8f063a8-c783-4140-9dfc-ce6c2278cd46" xsi:nil="true"/>
    <_Flow_SignoffStatus xmlns="fa8cccbc-a685-4260-8565-27c03a07dda4" xsi:nil="true"/>
    <lcf76f155ced4ddcb4097134ff3c332f xmlns="fa8cccbc-a685-4260-8565-27c03a07dda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AF60FC58F4134291150E3AEC05AA34" ma:contentTypeVersion="17" ma:contentTypeDescription="Create a new document." ma:contentTypeScope="" ma:versionID="f88b38abb3a691e017a6ee8e3f95fd4a">
  <xsd:schema xmlns:xsd="http://www.w3.org/2001/XMLSchema" xmlns:xs="http://www.w3.org/2001/XMLSchema" xmlns:p="http://schemas.microsoft.com/office/2006/metadata/properties" xmlns:ns2="e8f063a8-c783-4140-9dfc-ce6c2278cd46" xmlns:ns3="fa8cccbc-a685-4260-8565-27c03a07dda4" targetNamespace="http://schemas.microsoft.com/office/2006/metadata/properties" ma:root="true" ma:fieldsID="6b47fc191f806fa39f149b3773901168" ns2:_="" ns3:_="">
    <xsd:import namespace="e8f063a8-c783-4140-9dfc-ce6c2278cd46"/>
    <xsd:import namespace="fa8cccbc-a685-4260-8565-27c03a07dda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2:SharedWithUsers" minOccurs="0"/>
                <xsd:element ref="ns2:SharedWithDetails" minOccurs="0"/>
                <xsd:element ref="ns3:_Flow_SignoffStatus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f063a8-c783-4140-9dfc-ce6c2278cd4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eacd2463-d665-4aec-ac3b-064967460bf6}" ma:internalName="TaxCatchAll" ma:showField="CatchAllData" ma:web="e8f063a8-c783-4140-9dfc-ce6c2278cd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8cccbc-a685-4260-8565-27c03a07dd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55119dd2-2e12-47c4-8c45-0eb3e29905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F05BBC3-3A05-4DCC-8BAB-CE7EB0F687CD}">
  <ds:schemaRefs>
    <ds:schemaRef ds:uri="http://purl.org/dc/dcmitype/"/>
    <ds:schemaRef ds:uri="http://purl.org/dc/elements/1.1/"/>
    <ds:schemaRef ds:uri="fa8cccbc-a685-4260-8565-27c03a07dda4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e8f063a8-c783-4140-9dfc-ce6c2278cd46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F2A6E1C-2E51-403C-A8E6-BD2F7F368B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73DBA2-A3A8-447F-808D-E446E3FC0B1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003187FE-51D4-4C48-B592-6A4AD3CD5C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f063a8-c783-4140-9dfc-ce6c2278cd46"/>
    <ds:schemaRef ds:uri="fa8cccbc-a685-4260-8565-27c03a07dd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17</vt:i4>
      </vt:variant>
    </vt:vector>
  </HeadingPairs>
  <TitlesOfParts>
    <vt:vector size="34" baseType="lpstr">
      <vt:lpstr>PROGRAM IZVAJANJA</vt:lpstr>
      <vt:lpstr>Navodila</vt:lpstr>
      <vt:lpstr>Osnovni podatki</vt:lpstr>
      <vt:lpstr>Referenčne količine</vt:lpstr>
      <vt:lpstr>IS01</vt:lpstr>
      <vt:lpstr>IS02</vt:lpstr>
      <vt:lpstr>IS03</vt:lpstr>
      <vt:lpstr>IS04</vt:lpstr>
      <vt:lpstr>IS05</vt:lpstr>
      <vt:lpstr>IS06</vt:lpstr>
      <vt:lpstr>IS07</vt:lpstr>
      <vt:lpstr>IS08</vt:lpstr>
      <vt:lpstr>IS09</vt:lpstr>
      <vt:lpstr>IS10</vt:lpstr>
      <vt:lpstr>SS01</vt:lpstr>
      <vt:lpstr>Skupni zajamčeni prihranki</vt:lpstr>
      <vt:lpstr>ObračunOB01</vt:lpstr>
      <vt:lpstr>'IS01'!Print_Area</vt:lpstr>
      <vt:lpstr>'IS02'!Print_Area</vt:lpstr>
      <vt:lpstr>'IS03'!Print_Area</vt:lpstr>
      <vt:lpstr>'IS04'!Print_Area</vt:lpstr>
      <vt:lpstr>'IS05'!Print_Area</vt:lpstr>
      <vt:lpstr>'IS06'!Print_Area</vt:lpstr>
      <vt:lpstr>'IS07'!Print_Area</vt:lpstr>
      <vt:lpstr>'IS08'!Print_Area</vt:lpstr>
      <vt:lpstr>'IS09'!Print_Area</vt:lpstr>
      <vt:lpstr>'IS10'!Print_Area</vt:lpstr>
      <vt:lpstr>Navodila!Print_Area</vt:lpstr>
      <vt:lpstr>ObračunOB01!Print_Area</vt:lpstr>
      <vt:lpstr>'Osnovni podatki'!Print_Area</vt:lpstr>
      <vt:lpstr>'PROGRAM IZVAJANJA'!Print_Area</vt:lpstr>
      <vt:lpstr>'Referenčne količine'!Print_Area</vt:lpstr>
      <vt:lpstr>'Skupni zajamčeni prihranki'!Print_Area</vt:lpstr>
      <vt:lpstr>'SS01'!Print_Area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Marko</dc:creator>
  <cp:keywords/>
  <dc:description/>
  <cp:lastModifiedBy>Jakob Lipar</cp:lastModifiedBy>
  <cp:revision/>
  <cp:lastPrinted>2023-01-09T13:06:31Z</cp:lastPrinted>
  <dcterms:created xsi:type="dcterms:W3CDTF">2015-06-05T18:19:34Z</dcterms:created>
  <dcterms:modified xsi:type="dcterms:W3CDTF">2024-08-08T13:20:32Z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0x010100DDAF60FC58F4134291150E3AEC05AA34</vt:lpwstr>
  </property>
  <property fmtid="{D5CDD505-2E9C-101B-9397-08002B2CF9AE}" pid="3" name="_dlc_DocIdItemGuid">
    <vt:lpwstr>2944340c-05d6-429a-b0df-21f155c01e88</vt:lpwstr>
  </property>
  <property fmtid="{D5CDD505-2E9C-101B-9397-08002B2CF9AE}" pid="4" name="MediaServiceImageTags">
    <vt:lpwstr/>
  </property>
</Properties>
</file>